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760" windowHeight="10005" activeTab="1"/>
  </bookViews>
  <sheets>
    <sheet name="Data tables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<sst xmlns="http://schemas.openxmlformats.org/spreadsheetml/2006/main" count="37" uniqueCount="13">
  <si>
    <t>Vale do Minho</t>
  </si>
  <si>
    <t>TOTAL</t>
  </si>
  <si>
    <t>Vale do Lima</t>
  </si>
  <si>
    <t>Objectivo</t>
  </si>
  <si>
    <t>Évora District</t>
  </si>
  <si>
    <t>"Terra Quente" area in Trás-os-Montes</t>
  </si>
  <si>
    <r>
      <t>Source</t>
    </r>
    <r>
      <rPr>
        <sz val="10"/>
        <rFont val="Arial"/>
        <family val="2"/>
      </rPr>
      <t>:  Knowledge Society Agency (UMIC), based on weekly information from the promoters.</t>
    </r>
  </si>
  <si>
    <t>N.B.: A Physical Point of Presence (PoP) consists in active transmission equipment, commutation, insertion, extraction and traffic transit, interconnected with other PoPs, with capacity to serve a high number of users.</t>
  </si>
  <si>
    <t>Length of Technical Ducts Built within the Broadband Community Networks Projects</t>
  </si>
  <si>
    <t>Kilometers (Km), weekly evolution from 20-JUN-2008 to 19-DEC-2008 and final objectives</t>
  </si>
  <si>
    <t>Length of Optical Fiber Cable Installed within the Broadband Community Networks Projects</t>
  </si>
  <si>
    <t>Physical Points of Presence (PoP) Ready to operate within Broadband Community Networks Projects</t>
  </si>
  <si>
    <t>No. of units, weekly evolution from 20-JUN-2008 to 02-JAN-2008 and final objectives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</si>
</sst>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"/>
    <numFmt numFmtId="165" formatCode="[$-816]dddd\,\ d&quot; de &quot;mmmm&quot; de &quot;yyyy"/>
    <numFmt numFmtId="166" formatCode="[$-816]d/mmm/yy;@"/>
    <numFmt numFmtId="167" formatCode="[$-816]d/mmm/yyyy;@"/>
    <numFmt numFmtId="168" formatCode="&quot;Sim&quot;;&quot;Sim&quot;;&quot;Não&quot;"/>
    <numFmt numFmtId="169" formatCode="&quot;Verdadeiro&quot;;&quot;Verdadeiro&quot;;&quot;Falso&quot;"/>
    <numFmt numFmtId="170" formatCode="&quot;Activado&quot;;&quot;Activado&quot;;&quot;Desactivado&quot;"/>
    <numFmt numFmtId="171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9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3" fontId="0" fillId="0" borderId="0" xfId="15" applyNumberFormat="1" applyFont="1">
      <alignment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3" fillId="33" borderId="12" xfId="15" applyFont="1" applyFill="1" applyBorder="1" applyAlignment="1">
      <alignment horizontal="right"/>
      <protection/>
    </xf>
    <xf numFmtId="0" fontId="4" fillId="0" borderId="0" xfId="15" applyFont="1" applyAlignment="1">
      <alignment horizontal="left"/>
      <protection/>
    </xf>
    <xf numFmtId="0" fontId="2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2" fillId="0" borderId="0" xfId="15" applyNumberFormat="1" applyFont="1" applyBorder="1" applyAlignment="1">
      <alignment horizontal="center"/>
      <protection/>
    </xf>
    <xf numFmtId="3" fontId="0" fillId="0" borderId="0" xfId="15" applyNumberFormat="1" applyFont="1" applyBorder="1" applyAlignment="1">
      <alignment horizontal="center"/>
      <protection/>
    </xf>
    <xf numFmtId="3" fontId="2" fillId="0" borderId="0" xfId="15" applyNumberFormat="1" applyFont="1" applyBorder="1" applyAlignment="1">
      <alignment horizontal="center"/>
      <protection/>
    </xf>
    <xf numFmtId="167" fontId="3" fillId="34" borderId="14" xfId="15" applyNumberFormat="1" applyFont="1" applyFill="1" applyBorder="1" applyAlignment="1">
      <alignment horizontal="center" vertical="center"/>
      <protection/>
    </xf>
    <xf numFmtId="167" fontId="3" fillId="34" borderId="15" xfId="15" applyNumberFormat="1" applyFont="1" applyFill="1" applyBorder="1" applyAlignment="1">
      <alignment horizontal="center" vertical="center"/>
      <protection/>
    </xf>
    <xf numFmtId="15" fontId="2" fillId="0" borderId="16" xfId="15" applyNumberFormat="1" applyFont="1" applyBorder="1" applyAlignment="1">
      <alignment horizontal="center"/>
      <protection/>
    </xf>
    <xf numFmtId="3" fontId="0" fillId="0" borderId="16" xfId="15" applyNumberFormat="1" applyFont="1" applyBorder="1" applyAlignment="1">
      <alignment horizontal="center"/>
      <protection/>
    </xf>
    <xf numFmtId="3" fontId="2" fillId="0" borderId="16" xfId="15" applyNumberFormat="1" applyFont="1" applyBorder="1" applyAlignment="1">
      <alignment horizontal="center"/>
      <protection/>
    </xf>
    <xf numFmtId="3" fontId="0" fillId="0" borderId="17" xfId="15" applyNumberFormat="1" applyFont="1" applyBorder="1" applyAlignment="1">
      <alignment horizontal="center"/>
      <protection/>
    </xf>
    <xf numFmtId="0" fontId="7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167" fontId="3" fillId="34" borderId="18" xfId="15" applyNumberFormat="1" applyFont="1" applyFill="1" applyBorder="1" applyAlignment="1">
      <alignment horizontal="center" vertical="center"/>
      <protection/>
    </xf>
    <xf numFmtId="15" fontId="2" fillId="0" borderId="19" xfId="15" applyNumberFormat="1" applyFont="1" applyBorder="1" applyAlignment="1">
      <alignment horizontal="center"/>
      <protection/>
    </xf>
    <xf numFmtId="3" fontId="0" fillId="0" borderId="20" xfId="15" applyNumberFormat="1" applyFont="1" applyBorder="1" applyAlignment="1">
      <alignment horizontal="center"/>
      <protection/>
    </xf>
    <xf numFmtId="3" fontId="0" fillId="0" borderId="13" xfId="15" applyNumberFormat="1" applyFont="1" applyBorder="1" applyAlignment="1">
      <alignment horizontal="center"/>
      <protection/>
    </xf>
    <xf numFmtId="167" fontId="3" fillId="34" borderId="21" xfId="15" applyNumberFormat="1" applyFont="1" applyFill="1" applyBorder="1" applyAlignment="1">
      <alignment horizontal="center" vertical="center"/>
      <protection/>
    </xf>
    <xf numFmtId="15" fontId="2" fillId="0" borderId="22" xfId="15" applyNumberFormat="1" applyFont="1" applyBorder="1" applyAlignment="1">
      <alignment horizontal="center"/>
      <protection/>
    </xf>
    <xf numFmtId="3" fontId="2" fillId="0" borderId="22" xfId="15" applyNumberFormat="1" applyFont="1" applyBorder="1" applyAlignment="1">
      <alignment horizontal="center"/>
      <protection/>
    </xf>
    <xf numFmtId="167" fontId="3" fillId="34" borderId="23" xfId="15" applyNumberFormat="1" applyFont="1" applyFill="1" applyBorder="1" applyAlignment="1">
      <alignment horizontal="center" vertical="center"/>
      <protection/>
    </xf>
    <xf numFmtId="15" fontId="2" fillId="0" borderId="24" xfId="15" applyNumberFormat="1" applyFont="1" applyBorder="1" applyAlignment="1">
      <alignment horizontal="center"/>
      <protection/>
    </xf>
    <xf numFmtId="3" fontId="2" fillId="0" borderId="24" xfId="15" applyNumberFormat="1" applyFont="1" applyBorder="1" applyAlignment="1">
      <alignment horizontal="center"/>
      <protection/>
    </xf>
    <xf numFmtId="167" fontId="3" fillId="34" borderId="25" xfId="15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67" fontId="3" fillId="34" borderId="26" xfId="15" applyNumberFormat="1" applyFont="1" applyFill="1" applyBorder="1" applyAlignment="1">
      <alignment horizontal="center" vertical="center"/>
      <protection/>
    </xf>
    <xf numFmtId="15" fontId="2" fillId="0" borderId="27" xfId="15" applyNumberFormat="1" applyFont="1" applyBorder="1" applyAlignment="1">
      <alignment horizontal="center"/>
      <protection/>
    </xf>
    <xf numFmtId="3" fontId="2" fillId="0" borderId="27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right" indent="2"/>
      <protection/>
    </xf>
    <xf numFmtId="3" fontId="2" fillId="0" borderId="19" xfId="15" applyNumberFormat="1" applyFont="1" applyBorder="1" applyAlignment="1">
      <alignment horizontal="right" indent="2"/>
      <protection/>
    </xf>
    <xf numFmtId="167" fontId="3" fillId="34" borderId="28" xfId="15" applyNumberFormat="1" applyFont="1" applyFill="1" applyBorder="1" applyAlignment="1">
      <alignment horizontal="center" vertical="center"/>
      <protection/>
    </xf>
    <xf numFmtId="15" fontId="2" fillId="0" borderId="29" xfId="15" applyNumberFormat="1" applyFont="1" applyBorder="1" applyAlignment="1">
      <alignment horizontal="center"/>
      <protection/>
    </xf>
    <xf numFmtId="3" fontId="2" fillId="0" borderId="29" xfId="15" applyNumberFormat="1" applyFont="1" applyBorder="1" applyAlignment="1">
      <alignment horizontal="center"/>
      <protection/>
    </xf>
    <xf numFmtId="15" fontId="2" fillId="0" borderId="30" xfId="15" applyNumberFormat="1" applyFont="1" applyBorder="1" applyAlignment="1">
      <alignment horizontal="center"/>
      <protection/>
    </xf>
    <xf numFmtId="3" fontId="2" fillId="0" borderId="30" xfId="15" applyNumberFormat="1" applyFont="1" applyBorder="1" applyAlignment="1">
      <alignment horizontal="center"/>
      <protection/>
    </xf>
    <xf numFmtId="0" fontId="0" fillId="0" borderId="0" xfId="15" applyFont="1" applyAlignment="1">
      <alignment/>
      <protection/>
    </xf>
    <xf numFmtId="0" fontId="1" fillId="0" borderId="0" xfId="15" applyFont="1">
      <alignment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4" xfId="15" applyNumberFormat="1" applyFont="1" applyBorder="1" applyAlignment="1">
      <alignment horizontal="center"/>
      <protection/>
    </xf>
    <xf numFmtId="3" fontId="0" fillId="0" borderId="27" xfId="15" applyNumberFormat="1" applyFont="1" applyBorder="1" applyAlignment="1">
      <alignment horizontal="center"/>
      <protection/>
    </xf>
    <xf numFmtId="3" fontId="0" fillId="0" borderId="29" xfId="15" applyNumberFormat="1" applyFont="1" applyBorder="1" applyAlignment="1">
      <alignment horizontal="center"/>
      <protection/>
    </xf>
    <xf numFmtId="3" fontId="0" fillId="0" borderId="31" xfId="15" applyNumberFormat="1" applyFont="1" applyBorder="1" applyAlignment="1">
      <alignment horizontal="center"/>
      <protection/>
    </xf>
    <xf numFmtId="3" fontId="0" fillId="0" borderId="32" xfId="15" applyNumberFormat="1" applyFont="1" applyBorder="1" applyAlignment="1">
      <alignment horizontal="center"/>
      <protection/>
    </xf>
    <xf numFmtId="3" fontId="0" fillId="0" borderId="33" xfId="15" applyNumberFormat="1" applyFont="1" applyBorder="1" applyAlignment="1">
      <alignment horizontal="center"/>
      <protection/>
    </xf>
    <xf numFmtId="3" fontId="0" fillId="0" borderId="34" xfId="15" applyNumberFormat="1" applyFont="1" applyBorder="1" applyAlignment="1">
      <alignment horizontal="center"/>
      <protection/>
    </xf>
    <xf numFmtId="3" fontId="0" fillId="0" borderId="30" xfId="15" applyNumberFormat="1" applyFont="1" applyBorder="1" applyAlignment="1">
      <alignment horizontal="center"/>
      <protection/>
    </xf>
    <xf numFmtId="3" fontId="0" fillId="0" borderId="35" xfId="15" applyNumberFormat="1" applyFont="1" applyBorder="1" applyAlignment="1">
      <alignment horizontal="center"/>
      <protection/>
    </xf>
    <xf numFmtId="0" fontId="2" fillId="0" borderId="0" xfId="15" applyFont="1" applyFill="1" applyBorder="1" applyAlignment="1">
      <alignment vertical="top" wrapText="1"/>
      <protection/>
    </xf>
    <xf numFmtId="0" fontId="2" fillId="0" borderId="0" xfId="15" applyFont="1" applyAlignment="1">
      <alignment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 horizontal="left" vertical="top" wrapText="1"/>
      <protection/>
    </xf>
    <xf numFmtId="0" fontId="0" fillId="0" borderId="0" xfId="0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84"/>
          <c:y val="0.04375"/>
          <c:w val="0.89925"/>
          <c:h val="0.841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'Data tables'!$C$5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tables'!$C$7:$C$12</c:f>
              <c:numCache>
                <c:ptCount val="6"/>
                <c:pt idx="0">
                  <c:v>43</c:v>
                </c:pt>
                <c:pt idx="1">
                  <c:v>34</c:v>
                </c:pt>
                <c:pt idx="2">
                  <c:v>0</c:v>
                </c:pt>
                <c:pt idx="3">
                  <c:v>0</c:v>
                </c:pt>
                <c:pt idx="5">
                  <c:v>77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'Data tables'!$D$5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tables'!$D$7:$D$12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1</c:v>
                </c:pt>
                <c:pt idx="5">
                  <c:v>104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'Data tables'!$E$5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tables'!$E$7:$E$12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3</c:v>
                </c:pt>
                <c:pt idx="5">
                  <c:v>106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'Data tables'!$F$5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tables'!$F$7:$F$12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4</c:v>
                </c:pt>
                <c:pt idx="3">
                  <c:v>7</c:v>
                </c:pt>
                <c:pt idx="5">
                  <c:v>136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'Data tables'!$G$5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tables'!$G$7:$G$12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5</c:v>
                </c:pt>
                <c:pt idx="3">
                  <c:v>13</c:v>
                </c:pt>
                <c:pt idx="5">
                  <c:v>143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'Data tables'!$H$5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tables'!$H$7:$H$12</c:f>
              <c:numCache>
                <c:ptCount val="6"/>
                <c:pt idx="0">
                  <c:v>75</c:v>
                </c:pt>
                <c:pt idx="1">
                  <c:v>71</c:v>
                </c:pt>
                <c:pt idx="2">
                  <c:v>6</c:v>
                </c:pt>
                <c:pt idx="3">
                  <c:v>21</c:v>
                </c:pt>
                <c:pt idx="5">
                  <c:v>173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'Data tables'!$I$5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tables'!$I$7:$I$12</c:f>
              <c:numCache>
                <c:ptCount val="6"/>
                <c:pt idx="0">
                  <c:v>80</c:v>
                </c:pt>
                <c:pt idx="1">
                  <c:v>76</c:v>
                </c:pt>
                <c:pt idx="2">
                  <c:v>7</c:v>
                </c:pt>
                <c:pt idx="3">
                  <c:v>27</c:v>
                </c:pt>
                <c:pt idx="5">
                  <c:v>190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'Data tables'!$J$5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tables'!$J$7:$J$12</c:f>
              <c:numCache>
                <c:ptCount val="6"/>
                <c:pt idx="0">
                  <c:v>87</c:v>
                </c:pt>
                <c:pt idx="1">
                  <c:v>81</c:v>
                </c:pt>
                <c:pt idx="2">
                  <c:v>7</c:v>
                </c:pt>
                <c:pt idx="3">
                  <c:v>33.69</c:v>
                </c:pt>
                <c:pt idx="5">
                  <c:v>208.69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'Data tables'!$K$5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tables'!$K$7:$K$12</c:f>
              <c:numCache>
                <c:ptCount val="6"/>
                <c:pt idx="0">
                  <c:v>91</c:v>
                </c:pt>
                <c:pt idx="1">
                  <c:v>84</c:v>
                </c:pt>
                <c:pt idx="2">
                  <c:v>8</c:v>
                </c:pt>
                <c:pt idx="3">
                  <c:v>48</c:v>
                </c:pt>
                <c:pt idx="5">
                  <c:v>231</c:v>
                </c:pt>
              </c:numCache>
            </c:numRef>
          </c:val>
          <c:shape val="box"/>
        </c:ser>
        <c:ser>
          <c:idx val="9"/>
          <c:order val="9"/>
          <c:tx>
            <c:v>22-08-2008</c:v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tables'!$L$7:$L$12</c:f>
              <c:numCache>
                <c:ptCount val="6"/>
                <c:pt idx="0">
                  <c:v>97</c:v>
                </c:pt>
                <c:pt idx="1">
                  <c:v>87</c:v>
                </c:pt>
                <c:pt idx="2">
                  <c:v>11</c:v>
                </c:pt>
                <c:pt idx="3">
                  <c:v>67</c:v>
                </c:pt>
                <c:pt idx="5">
                  <c:v>262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'Data tables'!$M$5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tables'!$M$7:$M$12</c:f>
              <c:numCache>
                <c:ptCount val="6"/>
                <c:pt idx="0">
                  <c:v>104</c:v>
                </c:pt>
                <c:pt idx="1">
                  <c:v>92</c:v>
                </c:pt>
                <c:pt idx="2">
                  <c:v>14</c:v>
                </c:pt>
                <c:pt idx="3">
                  <c:v>88</c:v>
                </c:pt>
                <c:pt idx="5">
                  <c:v>298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'Data tables'!$N$5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tables'!$N$7:$N$12</c:f>
              <c:numCache>
                <c:ptCount val="6"/>
                <c:pt idx="0">
                  <c:v>112</c:v>
                </c:pt>
                <c:pt idx="1">
                  <c:v>95</c:v>
                </c:pt>
                <c:pt idx="2">
                  <c:v>14</c:v>
                </c:pt>
                <c:pt idx="3">
                  <c:v>103</c:v>
                </c:pt>
                <c:pt idx="5">
                  <c:v>324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'Data tables'!$O$5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tables'!$O$7:$O$12</c:f>
              <c:numCache>
                <c:ptCount val="6"/>
                <c:pt idx="0">
                  <c:v>125</c:v>
                </c:pt>
                <c:pt idx="1">
                  <c:v>100</c:v>
                </c:pt>
                <c:pt idx="2">
                  <c:v>14</c:v>
                </c:pt>
                <c:pt idx="3">
                  <c:v>112</c:v>
                </c:pt>
                <c:pt idx="5">
                  <c:v>351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'Data tables'!$P$5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tables'!$P$7:$P$12</c:f>
              <c:numCache>
                <c:ptCount val="6"/>
                <c:pt idx="0">
                  <c:v>138</c:v>
                </c:pt>
                <c:pt idx="1">
                  <c:v>104</c:v>
                </c:pt>
                <c:pt idx="2">
                  <c:v>33</c:v>
                </c:pt>
                <c:pt idx="3">
                  <c:v>122</c:v>
                </c:pt>
                <c:pt idx="5">
                  <c:v>397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'Data tables'!$Q$5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tables'!$Q$7:$Q$12</c:f>
              <c:numCache>
                <c:ptCount val="6"/>
                <c:pt idx="0">
                  <c:v>144</c:v>
                </c:pt>
                <c:pt idx="1">
                  <c:v>111</c:v>
                </c:pt>
                <c:pt idx="2">
                  <c:v>33</c:v>
                </c:pt>
                <c:pt idx="3">
                  <c:v>132</c:v>
                </c:pt>
                <c:pt idx="5">
                  <c:v>420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'Data tables'!$R$5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tables'!$R$7:$R$12</c:f>
              <c:numCache>
                <c:ptCount val="6"/>
                <c:pt idx="0">
                  <c:v>146</c:v>
                </c:pt>
                <c:pt idx="1">
                  <c:v>116</c:v>
                </c:pt>
                <c:pt idx="2">
                  <c:v>82</c:v>
                </c:pt>
                <c:pt idx="3">
                  <c:v>141</c:v>
                </c:pt>
                <c:pt idx="5">
                  <c:v>485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'Data tables'!$S$5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tables'!$S$7:$S$12</c:f>
              <c:numCache>
                <c:ptCount val="6"/>
                <c:pt idx="0">
                  <c:v>147</c:v>
                </c:pt>
                <c:pt idx="1">
                  <c:v>120</c:v>
                </c:pt>
                <c:pt idx="2">
                  <c:v>82</c:v>
                </c:pt>
                <c:pt idx="3">
                  <c:v>149</c:v>
                </c:pt>
                <c:pt idx="5">
                  <c:v>498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'Data tables'!$T$5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tables'!$T$7:$T$12</c:f>
              <c:numCache>
                <c:ptCount val="6"/>
                <c:pt idx="0">
                  <c:v>150</c:v>
                </c:pt>
                <c:pt idx="1">
                  <c:v>121</c:v>
                </c:pt>
                <c:pt idx="2">
                  <c:v>82</c:v>
                </c:pt>
                <c:pt idx="3">
                  <c:v>154</c:v>
                </c:pt>
                <c:pt idx="5">
                  <c:v>507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'Data tables'!$U$5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tables'!$U$7:$U$12</c:f>
              <c:numCache>
                <c:ptCount val="6"/>
                <c:pt idx="0">
                  <c:v>158</c:v>
                </c:pt>
                <c:pt idx="1">
                  <c:v>130</c:v>
                </c:pt>
                <c:pt idx="2">
                  <c:v>82</c:v>
                </c:pt>
                <c:pt idx="3">
                  <c:v>164</c:v>
                </c:pt>
                <c:pt idx="5">
                  <c:v>534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'Data tables'!$V$5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tables'!$V$7:$V$12</c:f>
              <c:numCache>
                <c:ptCount val="6"/>
                <c:pt idx="0">
                  <c:v>160</c:v>
                </c:pt>
                <c:pt idx="1">
                  <c:v>133</c:v>
                </c:pt>
                <c:pt idx="2">
                  <c:v>192</c:v>
                </c:pt>
                <c:pt idx="3">
                  <c:v>164</c:v>
                </c:pt>
                <c:pt idx="5">
                  <c:v>649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'Data tables'!$W$5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tables'!$W$7:$W$12</c:f>
              <c:numCache>
                <c:ptCount val="6"/>
                <c:pt idx="0">
                  <c:v>161</c:v>
                </c:pt>
                <c:pt idx="1">
                  <c:v>136</c:v>
                </c:pt>
                <c:pt idx="2">
                  <c:v>237</c:v>
                </c:pt>
                <c:pt idx="3">
                  <c:v>180</c:v>
                </c:pt>
                <c:pt idx="5">
                  <c:v>714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'Data tables'!$X$5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tables'!$X$7:$X$12</c:f>
              <c:numCache>
                <c:ptCount val="6"/>
                <c:pt idx="0">
                  <c:v>162</c:v>
                </c:pt>
                <c:pt idx="1">
                  <c:v>137</c:v>
                </c:pt>
                <c:pt idx="2">
                  <c:v>273</c:v>
                </c:pt>
                <c:pt idx="3">
                  <c:v>190</c:v>
                </c:pt>
                <c:pt idx="5">
                  <c:v>762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'Data tables'!$Y$5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tables'!$Y$7:$Y$12</c:f>
              <c:numCache>
                <c:ptCount val="6"/>
                <c:pt idx="0">
                  <c:v>194</c:v>
                </c:pt>
                <c:pt idx="1">
                  <c:v>138</c:v>
                </c:pt>
                <c:pt idx="2">
                  <c:v>370</c:v>
                </c:pt>
                <c:pt idx="3">
                  <c:v>192</c:v>
                </c:pt>
                <c:pt idx="5">
                  <c:v>894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'Data tables'!$Z$5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tables'!$Z$7:$Z$12</c:f>
              <c:numCache>
                <c:ptCount val="6"/>
                <c:pt idx="0">
                  <c:v>213</c:v>
                </c:pt>
                <c:pt idx="1">
                  <c:v>143</c:v>
                </c:pt>
                <c:pt idx="2">
                  <c:v>421</c:v>
                </c:pt>
                <c:pt idx="3">
                  <c:v>212</c:v>
                </c:pt>
                <c:pt idx="5">
                  <c:v>989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'Data tables'!$AA$5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tables'!$AA$7:$AA$12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421</c:v>
                </c:pt>
                <c:pt idx="3">
                  <c:v>222</c:v>
                </c:pt>
                <c:pt idx="5">
                  <c:v>1026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'Data tables'!$AB$5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tables'!$AB$7:$AB$12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441</c:v>
                </c:pt>
                <c:pt idx="3">
                  <c:v>235</c:v>
                </c:pt>
                <c:pt idx="5">
                  <c:v>1059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'Data tables'!$AC$5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tables'!$AC$7:$AC$12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469</c:v>
                </c:pt>
                <c:pt idx="3">
                  <c:v>256</c:v>
                </c:pt>
                <c:pt idx="5">
                  <c:v>1108</c:v>
                </c:pt>
              </c:numCache>
            </c:numRef>
          </c:val>
          <c:shape val="box"/>
        </c:ser>
        <c:ser>
          <c:idx val="29"/>
          <c:order val="27"/>
          <c:tx>
            <c:strRef>
              <c:f>'Data tables'!$AD$5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tables'!$AD$7:$AD$12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499</c:v>
                </c:pt>
                <c:pt idx="3">
                  <c:v>276</c:v>
                </c:pt>
                <c:pt idx="5">
                  <c:v>1160</c:v>
                </c:pt>
              </c:numCache>
            </c:numRef>
          </c:val>
          <c:shape val="box"/>
        </c:ser>
        <c:ser>
          <c:idx val="30"/>
          <c:order val="28"/>
          <c:tx>
            <c:strRef>
              <c:f>'Data tables'!$AE$5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tables'!$AE$7:$AE$12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531.21</c:v>
                </c:pt>
                <c:pt idx="3">
                  <c:v>306</c:v>
                </c:pt>
                <c:pt idx="5">
                  <c:v>1222.21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'Data tables'!$AF$5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'Data tables'!$AG$5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tables'!$AG$7:$AG$12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452</c:v>
                </c:pt>
                <c:pt idx="3">
                  <c:v>235</c:v>
                </c:pt>
                <c:pt idx="5">
                  <c:v>1070</c:v>
                </c:pt>
              </c:numCache>
            </c:numRef>
          </c:val>
          <c:shape val="box"/>
        </c:ser>
        <c:shape val="box"/>
        <c:axId val="18521225"/>
        <c:axId val="32473298"/>
      </c:bar3DChart>
      <c:catAx>
        <c:axId val="18521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73298"/>
        <c:crosses val="autoZero"/>
        <c:auto val="1"/>
        <c:lblOffset val="100"/>
        <c:tickLblSkip val="1"/>
        <c:noMultiLvlLbl val="0"/>
      </c:catAx>
      <c:valAx>
        <c:axId val="32473298"/>
        <c:scaling>
          <c:orientation val="minMax"/>
          <c:max val="1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-0.103"/>
              <c:y val="-0.37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21225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83"/>
          <c:y val="0.033"/>
          <c:w val="0.90125"/>
          <c:h val="0.836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'Data tables'!$C$5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tables'!$C$24:$C$29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'Data tables'!$D$5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tables'!$D$24:$D$29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'Data tables'!$E$5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tables'!$E$24:$E$29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'Data tables'!$F$5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tables'!$F$24:$F$29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'Data tables'!$G$22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tables'!$G$24:$G$29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'Data tables'!$H$22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tables'!$H$24:$H$29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'Data tables'!$I$22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tables'!$I$24:$I$29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'Data tables'!$J$22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tables'!$J$24:$J$29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'Data tables'!$K$22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tables'!$K$24:$K$29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'Data tables'!$L$22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tables'!$L$24:$L$29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'Data tables'!$M$22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tables'!$M$24:$M$29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2"/>
          <c:order val="11"/>
          <c:tx>
            <c:strRef>
              <c:f>'Data tables'!$N$22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tables'!$N$24:$N$29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'Data tables'!$O$22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tables'!$O$24:$O$29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'Data tables'!$P$22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tables'!$P$24:$P$29</c:f>
              <c:numCache>
                <c:ptCount val="6"/>
                <c:pt idx="0">
                  <c:v>2.5</c:v>
                </c:pt>
                <c:pt idx="1">
                  <c:v>2.5</c:v>
                </c:pt>
                <c:pt idx="2">
                  <c:v>2</c:v>
                </c:pt>
                <c:pt idx="3">
                  <c:v>0</c:v>
                </c:pt>
                <c:pt idx="5">
                  <c:v>7</c:v>
                </c:pt>
              </c:numCache>
            </c:numRef>
          </c:val>
          <c:shape val="box"/>
        </c:ser>
        <c:ser>
          <c:idx val="15"/>
          <c:order val="14"/>
          <c:tx>
            <c:strRef>
              <c:f>'Data tables'!$Q$22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tables'!$Q$24:$Q$29</c:f>
              <c:numCache>
                <c:ptCount val="6"/>
                <c:pt idx="0">
                  <c:v>10</c:v>
                </c:pt>
                <c:pt idx="1">
                  <c:v>28</c:v>
                </c:pt>
                <c:pt idx="2">
                  <c:v>2</c:v>
                </c:pt>
                <c:pt idx="3">
                  <c:v>0</c:v>
                </c:pt>
                <c:pt idx="5">
                  <c:v>40</c:v>
                </c:pt>
              </c:numCache>
            </c:numRef>
          </c:val>
          <c:shape val="box"/>
        </c:ser>
        <c:ser>
          <c:idx val="16"/>
          <c:order val="15"/>
          <c:tx>
            <c:strRef>
              <c:f>'Data tables'!$R$22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4BAC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tables'!$R$24:$R$29</c:f>
              <c:numCache>
                <c:ptCount val="6"/>
                <c:pt idx="0">
                  <c:v>28</c:v>
                </c:pt>
                <c:pt idx="1">
                  <c:v>35</c:v>
                </c:pt>
                <c:pt idx="2">
                  <c:v>2</c:v>
                </c:pt>
                <c:pt idx="3">
                  <c:v>0</c:v>
                </c:pt>
                <c:pt idx="5">
                  <c:v>65</c:v>
                </c:pt>
              </c:numCache>
            </c:numRef>
          </c:val>
          <c:shape val="box"/>
        </c:ser>
        <c:ser>
          <c:idx val="17"/>
          <c:order val="16"/>
          <c:tx>
            <c:strRef>
              <c:f>'Data tables'!$S$22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tables'!$S$24:$S$29</c:f>
              <c:numCache>
                <c:ptCount val="6"/>
                <c:pt idx="0">
                  <c:v>51</c:v>
                </c:pt>
                <c:pt idx="1">
                  <c:v>43</c:v>
                </c:pt>
                <c:pt idx="2">
                  <c:v>13</c:v>
                </c:pt>
                <c:pt idx="3">
                  <c:v>0</c:v>
                </c:pt>
                <c:pt idx="5">
                  <c:v>107</c:v>
                </c:pt>
              </c:numCache>
            </c:numRef>
          </c:val>
          <c:shape val="box"/>
        </c:ser>
        <c:ser>
          <c:idx val="18"/>
          <c:order val="17"/>
          <c:tx>
            <c:strRef>
              <c:f>'Data tables'!$T$22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tables'!$T$24:$T$29</c:f>
              <c:numCache>
                <c:ptCount val="6"/>
                <c:pt idx="0">
                  <c:v>85</c:v>
                </c:pt>
                <c:pt idx="1">
                  <c:v>44</c:v>
                </c:pt>
                <c:pt idx="2">
                  <c:v>13</c:v>
                </c:pt>
                <c:pt idx="3">
                  <c:v>0</c:v>
                </c:pt>
                <c:pt idx="5">
                  <c:v>142</c:v>
                </c:pt>
              </c:numCache>
            </c:numRef>
          </c:val>
          <c:shape val="box"/>
        </c:ser>
        <c:ser>
          <c:idx val="14"/>
          <c:order val="18"/>
          <c:tx>
            <c:strRef>
              <c:f>'Data tables'!$U$22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tables'!$U$24:$U$29</c:f>
              <c:numCache>
                <c:ptCount val="6"/>
                <c:pt idx="0">
                  <c:v>85</c:v>
                </c:pt>
                <c:pt idx="1">
                  <c:v>94</c:v>
                </c:pt>
                <c:pt idx="2">
                  <c:v>13</c:v>
                </c:pt>
                <c:pt idx="3">
                  <c:v>0</c:v>
                </c:pt>
                <c:pt idx="5">
                  <c:v>192</c:v>
                </c:pt>
              </c:numCache>
            </c:numRef>
          </c:val>
          <c:shape val="box"/>
        </c:ser>
        <c:ser>
          <c:idx val="19"/>
          <c:order val="19"/>
          <c:tx>
            <c:strRef>
              <c:f>'Data tables'!$V$22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tables'!$V$24:$V$29</c:f>
              <c:numCache>
                <c:ptCount val="6"/>
                <c:pt idx="0">
                  <c:v>120</c:v>
                </c:pt>
                <c:pt idx="1">
                  <c:v>106</c:v>
                </c:pt>
                <c:pt idx="2">
                  <c:v>33</c:v>
                </c:pt>
                <c:pt idx="3">
                  <c:v>0</c:v>
                </c:pt>
                <c:pt idx="5">
                  <c:v>259</c:v>
                </c:pt>
              </c:numCache>
            </c:numRef>
          </c:val>
          <c:shape val="box"/>
        </c:ser>
        <c:ser>
          <c:idx val="20"/>
          <c:order val="20"/>
          <c:tx>
            <c:strRef>
              <c:f>'Data tables'!$W$22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tables'!$W$24:$W$29</c:f>
              <c:numCache>
                <c:ptCount val="6"/>
                <c:pt idx="0">
                  <c:v>120</c:v>
                </c:pt>
                <c:pt idx="1">
                  <c:v>111</c:v>
                </c:pt>
                <c:pt idx="2">
                  <c:v>33</c:v>
                </c:pt>
                <c:pt idx="3">
                  <c:v>0</c:v>
                </c:pt>
                <c:pt idx="5">
                  <c:v>264</c:v>
                </c:pt>
              </c:numCache>
            </c:numRef>
          </c:val>
          <c:shape val="box"/>
        </c:ser>
        <c:ser>
          <c:idx val="21"/>
          <c:order val="21"/>
          <c:tx>
            <c:strRef>
              <c:f>'Data tables'!$X$22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A99B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tables'!$X$24:$X$29</c:f>
              <c:numCache>
                <c:ptCount val="6"/>
                <c:pt idx="0">
                  <c:v>127</c:v>
                </c:pt>
                <c:pt idx="1">
                  <c:v>111</c:v>
                </c:pt>
                <c:pt idx="2">
                  <c:v>33</c:v>
                </c:pt>
                <c:pt idx="3">
                  <c:v>19</c:v>
                </c:pt>
                <c:pt idx="5">
                  <c:v>290</c:v>
                </c:pt>
              </c:numCache>
            </c:numRef>
          </c:val>
          <c:shape val="box"/>
        </c:ser>
        <c:ser>
          <c:idx val="22"/>
          <c:order val="22"/>
          <c:tx>
            <c:strRef>
              <c:f>'Data tables'!$Y$22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91C3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tables'!$Y$24:$Y$29</c:f>
              <c:numCache>
                <c:ptCount val="6"/>
                <c:pt idx="0">
                  <c:v>133</c:v>
                </c:pt>
                <c:pt idx="1">
                  <c:v>111</c:v>
                </c:pt>
                <c:pt idx="2">
                  <c:v>138</c:v>
                </c:pt>
                <c:pt idx="3">
                  <c:v>33</c:v>
                </c:pt>
                <c:pt idx="5">
                  <c:v>415</c:v>
                </c:pt>
              </c:numCache>
            </c:numRef>
          </c:val>
          <c:shape val="box"/>
        </c:ser>
        <c:ser>
          <c:idx val="23"/>
          <c:order val="23"/>
          <c:tx>
            <c:strRef>
              <c:f>'Data tables'!$Z$22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F9B5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tables'!$Z$24:$Z$29</c:f>
              <c:numCache>
                <c:ptCount val="6"/>
                <c:pt idx="0">
                  <c:v>184</c:v>
                </c:pt>
                <c:pt idx="1">
                  <c:v>159</c:v>
                </c:pt>
                <c:pt idx="2">
                  <c:v>168</c:v>
                </c:pt>
                <c:pt idx="3">
                  <c:v>53</c:v>
                </c:pt>
                <c:pt idx="5">
                  <c:v>564</c:v>
                </c:pt>
              </c:numCache>
            </c:numRef>
          </c:val>
          <c:shape val="box"/>
        </c:ser>
        <c:ser>
          <c:idx val="24"/>
          <c:order val="24"/>
          <c:tx>
            <c:strRef>
              <c:f>'Data tables'!$AA$22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BCC8D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tables'!$AA$24:$AA$29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168</c:v>
                </c:pt>
                <c:pt idx="3">
                  <c:v>65</c:v>
                </c:pt>
                <c:pt idx="5">
                  <c:v>632</c:v>
                </c:pt>
              </c:numCache>
            </c:numRef>
          </c:val>
          <c:shape val="box"/>
        </c:ser>
        <c:ser>
          <c:idx val="25"/>
          <c:order val="25"/>
          <c:tx>
            <c:strRef>
              <c:f>'Data tables'!$AB$22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E0BCB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tables'!$AB$24:$AB$29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239</c:v>
                </c:pt>
                <c:pt idx="3">
                  <c:v>83</c:v>
                </c:pt>
                <c:pt idx="5">
                  <c:v>721</c:v>
                </c:pt>
              </c:numCache>
            </c:numRef>
          </c:val>
          <c:shape val="box"/>
        </c:ser>
        <c:ser>
          <c:idx val="26"/>
          <c:order val="26"/>
          <c:tx>
            <c:strRef>
              <c:f>'Data tables'!$AC$22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D1DEB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tables'!$AC$24:$AC$29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311</c:v>
                </c:pt>
                <c:pt idx="3">
                  <c:v>128</c:v>
                </c:pt>
                <c:pt idx="5">
                  <c:v>838</c:v>
                </c:pt>
              </c:numCache>
            </c:numRef>
          </c:val>
          <c:shape val="box"/>
        </c:ser>
        <c:ser>
          <c:idx val="28"/>
          <c:order val="27"/>
          <c:tx>
            <c:strRef>
              <c:f>'Data tables'!$AD$22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BBD7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tables'!$AD$24:$AD$29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479</c:v>
                </c:pt>
                <c:pt idx="3">
                  <c:v>211</c:v>
                </c:pt>
                <c:pt idx="5">
                  <c:v>1102</c:v>
                </c:pt>
              </c:numCache>
            </c:numRef>
          </c:val>
          <c:shape val="box"/>
        </c:ser>
        <c:ser>
          <c:idx val="27"/>
          <c:order val="28"/>
          <c:tx>
            <c:strRef>
              <c:f>'Data tables'!$AE$22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8C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tables'!$AE$24:$AE$29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570</c:v>
                </c:pt>
                <c:pt idx="3">
                  <c:v>342</c:v>
                </c:pt>
                <c:pt idx="5">
                  <c:v>1324</c:v>
                </c:pt>
              </c:numCache>
            </c:numRef>
          </c:val>
          <c:shape val="box"/>
        </c:ser>
        <c:shape val="box"/>
        <c:axId val="23824227"/>
        <c:axId val="13091452"/>
      </c:bar3DChart>
      <c:catAx>
        <c:axId val="23824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91452"/>
        <c:crosses val="autoZero"/>
        <c:auto val="1"/>
        <c:lblOffset val="100"/>
        <c:tickLblSkip val="1"/>
        <c:noMultiLvlLbl val="0"/>
      </c:catAx>
      <c:valAx>
        <c:axId val="13091452"/>
        <c:scaling>
          <c:orientation val="minMax"/>
          <c:max val="1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-0.106"/>
              <c:y val="-0.35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24227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8275"/>
          <c:y val="0.04125"/>
          <c:w val="0.89925"/>
          <c:h val="0.842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'Data tables'!$C$39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tables'!$C$41:$C$46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'Data tables'!$D$39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Évora District</c:v>
                </c:pt>
                <c:pt idx="3">
                  <c:v>"Terra Quente" area in Trás-os-Montes</c:v>
                </c:pt>
                <c:pt idx="5">
                  <c:v>TOTAL</c:v>
                </c:pt>
              </c:strCache>
            </c:strRef>
          </c:cat>
          <c:val>
            <c:numRef>
              <c:f>'Data tables'!$D$41:$D$46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'Data tables'!$E$39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tables'!$E$41:$E$46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'Data tables'!$F$39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tables'!$F$41:$F$46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'Data tables'!$G$39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tables'!$G$41:$G$46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'Data tables'!$H$39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tables'!$H$41:$H$46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'Data tables'!$I$39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tables'!$I$41:$I$46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'Data tables'!$J$39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tables'!$J$41:$J$46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'Data tables'!$K$39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tables'!$K$41:$K$46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'Data tables'!$L$39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tables'!$L$41:$L$46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'Data tables'!$M$39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tables'!$M$41:$M$46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'Data tables'!$N$39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tables'!$N$41:$N$46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'Data tables'!$O$39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tables'!$O$41:$O$46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'Data tables'!$P$39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tables'!$P$41:$P$46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'Data tables'!$Q$39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tables'!$Q$41:$Q$46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'Data tables'!$R$39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tables'!$R$41:$R$46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'Data tables'!$S$39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tables'!$S$41:$S$46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'Data tables'!$T$39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tables'!$T$41:$T$46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'Data tables'!$U$39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tables'!$U$41:$U$46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'Data tables'!$V$39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tables'!$V$41:$V$46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'Data tables'!$W$39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tables'!$W$41:$W$46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'Data tables'!$X$39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tables'!$X$41:$X$46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'Data tables'!$Y$39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tables'!$Y$41:$Y$46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'Data tables'!$Z$39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tables'!$Z$41:$Z$46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'Data tables'!$AA$39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tables'!$AA$41:$AA$46</c:f>
              <c:numCache>
                <c:ptCount val="6"/>
                <c:pt idx="0">
                  <c:v>2</c:v>
                </c:pt>
                <c:pt idx="1">
                  <c:v>2</c:v>
                </c:pt>
                <c:pt idx="2">
                  <c:v>9</c:v>
                </c:pt>
                <c:pt idx="3">
                  <c:v>2</c:v>
                </c:pt>
                <c:pt idx="5">
                  <c:v>15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'Data tables'!$AB$39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tables'!$AB$41:$AB$46</c:f>
              <c:numCache>
                <c:ptCount val="6"/>
                <c:pt idx="0">
                  <c:v>4</c:v>
                </c:pt>
                <c:pt idx="1">
                  <c:v>4</c:v>
                </c:pt>
                <c:pt idx="2">
                  <c:v>12</c:v>
                </c:pt>
                <c:pt idx="3">
                  <c:v>5</c:v>
                </c:pt>
                <c:pt idx="5">
                  <c:v>25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'Data tables'!$AC$39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tables'!$AC$41:$AC$46</c:f>
              <c:numCache>
                <c:ptCount val="6"/>
                <c:pt idx="0">
                  <c:v>5</c:v>
                </c:pt>
                <c:pt idx="1">
                  <c:v>5</c:v>
                </c:pt>
                <c:pt idx="2">
                  <c:v>13</c:v>
                </c:pt>
                <c:pt idx="3">
                  <c:v>5</c:v>
                </c:pt>
                <c:pt idx="5">
                  <c:v>28</c:v>
                </c:pt>
              </c:numCache>
            </c:numRef>
          </c:val>
          <c:shape val="box"/>
        </c:ser>
        <c:ser>
          <c:idx val="30"/>
          <c:order val="27"/>
          <c:tx>
            <c:strRef>
              <c:f>'Data tables'!$AD$39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tables'!$AD$41:$AD$46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15</c:v>
                </c:pt>
                <c:pt idx="3">
                  <c:v>5</c:v>
                </c:pt>
                <c:pt idx="5">
                  <c:v>31</c:v>
                </c:pt>
              </c:numCache>
            </c:numRef>
          </c:val>
          <c:shape val="box"/>
        </c:ser>
        <c:ser>
          <c:idx val="29"/>
          <c:order val="28"/>
          <c:tx>
            <c:strRef>
              <c:f>'Data tables'!$AE$39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tables'!$AE$41:$AE$46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'Data tables'!$AF$5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'Data tables'!$AG$39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tables'!$AG$41:$AG$46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hape val="box"/>
        <c:axId val="50714205"/>
        <c:axId val="53774662"/>
      </c:bar3DChart>
      <c:catAx>
        <c:axId val="50714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774662"/>
        <c:crosses val="autoZero"/>
        <c:auto val="1"/>
        <c:lblOffset val="100"/>
        <c:tickLblSkip val="1"/>
        <c:noMultiLvlLbl val="0"/>
      </c:catAx>
      <c:valAx>
        <c:axId val="53774662"/>
        <c:scaling>
          <c:orientation val="minMax"/>
          <c:max val="3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14205"/>
        <c:crossesAt val="1"/>
        <c:crossBetween val="between"/>
        <c:dispUnits/>
        <c:majorUnit val="5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28575</xdr:rowOff>
    </xdr:to>
    <xdr:graphicFrame>
      <xdr:nvGraphicFramePr>
        <xdr:cNvPr id="1" name="Chart 2"/>
        <xdr:cNvGraphicFramePr/>
      </xdr:nvGraphicFramePr>
      <xdr:xfrm>
        <a:off x="428625" y="733425"/>
        <a:ext cx="64674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31</xdr:row>
      <xdr:rowOff>228600</xdr:rowOff>
    </xdr:from>
    <xdr:to>
      <xdr:col>11</xdr:col>
      <xdr:colOff>190500</xdr:colOff>
      <xdr:row>53</xdr:row>
      <xdr:rowOff>66675</xdr:rowOff>
    </xdr:to>
    <xdr:graphicFrame>
      <xdr:nvGraphicFramePr>
        <xdr:cNvPr id="2" name="Chart 3"/>
        <xdr:cNvGraphicFramePr/>
      </xdr:nvGraphicFramePr>
      <xdr:xfrm>
        <a:off x="428625" y="5172075"/>
        <a:ext cx="6467475" cy="347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428625</xdr:colOff>
      <xdr:row>61</xdr:row>
      <xdr:rowOff>0</xdr:rowOff>
    </xdr:from>
    <xdr:to>
      <xdr:col>11</xdr:col>
      <xdr:colOff>238125</xdr:colOff>
      <xdr:row>82</xdr:row>
      <xdr:rowOff>0</xdr:rowOff>
    </xdr:to>
    <xdr:graphicFrame>
      <xdr:nvGraphicFramePr>
        <xdr:cNvPr id="3" name="Chart 2"/>
        <xdr:cNvGraphicFramePr/>
      </xdr:nvGraphicFramePr>
      <xdr:xfrm>
        <a:off x="428625" y="9734550"/>
        <a:ext cx="6515100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50"/>
  <sheetViews>
    <sheetView showGridLines="0" zoomScalePageLayoutView="0" workbookViewId="0" topLeftCell="A34">
      <selection activeCell="E60" sqref="E60"/>
    </sheetView>
  </sheetViews>
  <sheetFormatPr defaultColWidth="9.140625" defaultRowHeight="12.75"/>
  <cols>
    <col min="2" max="2" width="25.28125" style="0" customWidth="1"/>
    <col min="3" max="14" width="11.8515625" style="0" customWidth="1"/>
    <col min="15" max="29" width="12.00390625" style="0" customWidth="1"/>
    <col min="30" max="30" width="11.57421875" style="0" bestFit="1" customWidth="1"/>
    <col min="31" max="31" width="11.7109375" style="0" customWidth="1"/>
    <col min="32" max="32" width="3.57421875" style="0" customWidth="1"/>
  </cols>
  <sheetData>
    <row r="2" spans="2:33" ht="15" customHeight="1">
      <c r="B2" s="57" t="s">
        <v>8</v>
      </c>
      <c r="C2" s="58"/>
      <c r="D2" s="58"/>
      <c r="E2" s="58"/>
      <c r="F2" s="58"/>
      <c r="G2" s="58"/>
      <c r="H2" s="58"/>
      <c r="I2" s="58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2:3" ht="12.75">
      <c r="B3" s="8" t="s">
        <v>9</v>
      </c>
      <c r="C3" s="44"/>
    </row>
    <row r="4" spans="2:3" ht="12" customHeight="1">
      <c r="B4" s="44"/>
      <c r="C4" s="44"/>
    </row>
    <row r="5" spans="2:33" ht="12" customHeight="1">
      <c r="B5" s="5"/>
      <c r="C5" s="14">
        <v>39619</v>
      </c>
      <c r="D5" s="13">
        <v>39626</v>
      </c>
      <c r="E5" s="13">
        <v>39633</v>
      </c>
      <c r="F5" s="13">
        <v>39640</v>
      </c>
      <c r="G5" s="13">
        <v>39647</v>
      </c>
      <c r="H5" s="13">
        <v>39654</v>
      </c>
      <c r="I5" s="13">
        <v>39661</v>
      </c>
      <c r="J5" s="13">
        <v>39668</v>
      </c>
      <c r="K5" s="13">
        <v>39675</v>
      </c>
      <c r="L5" s="13">
        <v>39682</v>
      </c>
      <c r="M5" s="13">
        <v>39689</v>
      </c>
      <c r="N5" s="25">
        <v>39696</v>
      </c>
      <c r="O5" s="25">
        <v>39703</v>
      </c>
      <c r="P5" s="28">
        <v>39710</v>
      </c>
      <c r="Q5" s="28">
        <v>39717</v>
      </c>
      <c r="R5" s="28">
        <v>39724</v>
      </c>
      <c r="S5" s="28">
        <v>39731</v>
      </c>
      <c r="T5" s="28">
        <v>39738</v>
      </c>
      <c r="U5" s="28">
        <v>39745</v>
      </c>
      <c r="V5" s="28">
        <v>39752</v>
      </c>
      <c r="W5" s="28">
        <v>39759</v>
      </c>
      <c r="X5" s="31">
        <v>39766</v>
      </c>
      <c r="Y5" s="33">
        <v>39773</v>
      </c>
      <c r="Z5" s="28">
        <v>39780</v>
      </c>
      <c r="AA5" s="28">
        <v>39787</v>
      </c>
      <c r="AB5" s="28">
        <v>39794</v>
      </c>
      <c r="AC5" s="25">
        <v>39801</v>
      </c>
      <c r="AD5" s="25">
        <v>39808</v>
      </c>
      <c r="AE5" s="38">
        <v>39815</v>
      </c>
      <c r="AG5" s="21" t="s">
        <v>3</v>
      </c>
    </row>
    <row r="6" spans="2:33" ht="12" customHeight="1">
      <c r="B6" s="3"/>
      <c r="C6" s="10"/>
      <c r="D6" s="15"/>
      <c r="E6" s="15"/>
      <c r="F6" s="15"/>
      <c r="G6" s="15"/>
      <c r="H6" s="15"/>
      <c r="I6" s="15"/>
      <c r="J6" s="15"/>
      <c r="K6" s="15"/>
      <c r="L6" s="15"/>
      <c r="M6" s="10"/>
      <c r="N6" s="26"/>
      <c r="O6" s="26"/>
      <c r="P6" s="29"/>
      <c r="Q6" s="29"/>
      <c r="R6" s="29"/>
      <c r="S6" s="29"/>
      <c r="T6" s="29"/>
      <c r="U6" s="29"/>
      <c r="V6" s="29"/>
      <c r="W6" s="29"/>
      <c r="X6" s="10"/>
      <c r="Y6" s="34"/>
      <c r="Z6" s="29"/>
      <c r="AA6" s="29"/>
      <c r="AB6" s="29"/>
      <c r="AC6" s="26"/>
      <c r="AD6" s="26"/>
      <c r="AE6" s="39"/>
      <c r="AG6" s="22"/>
    </row>
    <row r="7" spans="2:33" ht="12.75">
      <c r="B7" s="3" t="s">
        <v>2</v>
      </c>
      <c r="C7" s="11">
        <f>INT(42.726+0.5)</f>
        <v>43</v>
      </c>
      <c r="D7" s="16">
        <f>INT(54.957+0.5)</f>
        <v>55</v>
      </c>
      <c r="E7" s="16">
        <f>INT(54.957+0.5)</f>
        <v>55</v>
      </c>
      <c r="F7" s="16">
        <f>INT(65.71+0.5)</f>
        <v>66</v>
      </c>
      <c r="G7" s="16">
        <f>INT(65.71+0.5)</f>
        <v>66</v>
      </c>
      <c r="H7" s="16">
        <f>INT(75.126+0.5)</f>
        <v>75</v>
      </c>
      <c r="I7" s="16">
        <f>INT(80.425+0.5)</f>
        <v>80</v>
      </c>
      <c r="J7" s="16">
        <f>INT(86.684+0.5)</f>
        <v>87</v>
      </c>
      <c r="K7" s="16">
        <f>INT(91.015+0.5)</f>
        <v>91</v>
      </c>
      <c r="L7" s="16">
        <f>INT(97.169+0.5)</f>
        <v>97</v>
      </c>
      <c r="M7" s="11">
        <f>INT(104.43+0.5)</f>
        <v>104</v>
      </c>
      <c r="N7" s="45">
        <f>INT(112.351+0.5)</f>
        <v>112</v>
      </c>
      <c r="O7" s="45">
        <f>INT(124.832+0.5)</f>
        <v>125</v>
      </c>
      <c r="P7" s="46">
        <f>INT(137.992+0.5)</f>
        <v>138</v>
      </c>
      <c r="Q7" s="46">
        <f>INT(144.311+0.5)</f>
        <v>144</v>
      </c>
      <c r="R7" s="46">
        <f>INT(146.13+0.5)</f>
        <v>146</v>
      </c>
      <c r="S7" s="46">
        <f>INT(147.388+0.5)</f>
        <v>147</v>
      </c>
      <c r="T7" s="46">
        <f>INT(150.2235+0.5)</f>
        <v>150</v>
      </c>
      <c r="U7" s="46">
        <f>INT(158.025+0.5)</f>
        <v>158</v>
      </c>
      <c r="V7" s="46">
        <f>INT(159.905+0.5)</f>
        <v>160</v>
      </c>
      <c r="W7" s="46">
        <f>INT(161.21+0.5)</f>
        <v>161</v>
      </c>
      <c r="X7" s="11">
        <f>INT(162.477+0.5)</f>
        <v>162</v>
      </c>
      <c r="Y7" s="47">
        <f>INT(194.433+0.5)</f>
        <v>194</v>
      </c>
      <c r="Z7" s="46">
        <f>INT(212.593+0.5)</f>
        <v>213</v>
      </c>
      <c r="AA7" s="46">
        <f>INT(240+0.5)</f>
        <v>240</v>
      </c>
      <c r="AB7" s="46">
        <f>INT(240+0.5)</f>
        <v>240</v>
      </c>
      <c r="AC7" s="45">
        <f>INT(240+0.5)</f>
        <v>240</v>
      </c>
      <c r="AD7" s="45">
        <f>INT(241.633+0.5)</f>
        <v>242</v>
      </c>
      <c r="AE7" s="48">
        <f>INT(241.633+0.5)</f>
        <v>242</v>
      </c>
      <c r="AG7" s="36">
        <v>240</v>
      </c>
    </row>
    <row r="8" spans="2:33" ht="12.75">
      <c r="B8" s="3" t="s">
        <v>0</v>
      </c>
      <c r="C8" s="11">
        <f>INT(33.665+0.5)</f>
        <v>34</v>
      </c>
      <c r="D8" s="16">
        <f>INT(44.77+0.5)</f>
        <v>45</v>
      </c>
      <c r="E8" s="16">
        <f>INT(44.77+0.5)</f>
        <v>45</v>
      </c>
      <c r="F8" s="16">
        <f>INT(59.315+0.5)</f>
        <v>59</v>
      </c>
      <c r="G8" s="16">
        <f>INT(59.315+0.5)</f>
        <v>59</v>
      </c>
      <c r="H8" s="16">
        <f>INT(71.205+0.5)</f>
        <v>71</v>
      </c>
      <c r="I8" s="16">
        <f>INT(75.595+0.5)</f>
        <v>76</v>
      </c>
      <c r="J8" s="16">
        <f>INT(80.903+0.5)</f>
        <v>81</v>
      </c>
      <c r="K8" s="16">
        <f>INT(84.319+0.5)</f>
        <v>84</v>
      </c>
      <c r="L8" s="16">
        <f>INT(87.417+0.5)</f>
        <v>87</v>
      </c>
      <c r="M8" s="11">
        <f>INT(91.855+0.5)</f>
        <v>92</v>
      </c>
      <c r="N8" s="45">
        <f>INT(95.473+0.5)</f>
        <v>95</v>
      </c>
      <c r="O8" s="45">
        <f>INT(100.202+0.5)</f>
        <v>100</v>
      </c>
      <c r="P8" s="46">
        <f>INT(104.33+0.5)</f>
        <v>104</v>
      </c>
      <c r="Q8" s="46">
        <f>INT(110.671+0.5)</f>
        <v>111</v>
      </c>
      <c r="R8" s="46">
        <f>INT(116.2547+0.5)</f>
        <v>116</v>
      </c>
      <c r="S8" s="46">
        <f>INT(119.7927+0.5)</f>
        <v>120</v>
      </c>
      <c r="T8" s="46">
        <f>INT(121.3042+0.5)</f>
        <v>121</v>
      </c>
      <c r="U8" s="46">
        <f>INT(130.295+0.5)</f>
        <v>130</v>
      </c>
      <c r="V8" s="46">
        <f>INT(133.494+0.5)</f>
        <v>133</v>
      </c>
      <c r="W8" s="46">
        <f>INT(136.251+0.5)</f>
        <v>136</v>
      </c>
      <c r="X8" s="11">
        <f>INT(137.247+0.5)</f>
        <v>137</v>
      </c>
      <c r="Y8" s="47">
        <f>INT(138.141+0.5)</f>
        <v>138</v>
      </c>
      <c r="Z8" s="46">
        <f aca="true" t="shared" si="0" ref="Z8:AE8">INT(143.365+0.5)</f>
        <v>143</v>
      </c>
      <c r="AA8" s="46">
        <f t="shared" si="0"/>
        <v>143</v>
      </c>
      <c r="AB8" s="46">
        <f t="shared" si="0"/>
        <v>143</v>
      </c>
      <c r="AC8" s="45">
        <f t="shared" si="0"/>
        <v>143</v>
      </c>
      <c r="AD8" s="45">
        <f t="shared" si="0"/>
        <v>143</v>
      </c>
      <c r="AE8" s="48">
        <f t="shared" si="0"/>
        <v>143</v>
      </c>
      <c r="AG8" s="36">
        <v>143</v>
      </c>
    </row>
    <row r="9" spans="2:33" ht="12.75">
      <c r="B9" s="3" t="s">
        <v>4</v>
      </c>
      <c r="C9" s="11">
        <v>0</v>
      </c>
      <c r="D9" s="16">
        <f>INT(2.57+0.5)</f>
        <v>3</v>
      </c>
      <c r="E9" s="16">
        <f>INT(2.57+0.5)</f>
        <v>3</v>
      </c>
      <c r="F9" s="16">
        <f>INT(4.07+0.5)</f>
        <v>4</v>
      </c>
      <c r="G9" s="16">
        <f>INT(4.57+0.5)</f>
        <v>5</v>
      </c>
      <c r="H9" s="16">
        <f>INT(5.57+0.5)</f>
        <v>6</v>
      </c>
      <c r="I9" s="16">
        <f>INT(6.79+0.5)</f>
        <v>7</v>
      </c>
      <c r="J9" s="16">
        <f>INT(7.09+0.5)</f>
        <v>7</v>
      </c>
      <c r="K9" s="16">
        <f>INT(8.34+0.5)</f>
        <v>8</v>
      </c>
      <c r="L9" s="16">
        <f>INT(10.66+0.5)</f>
        <v>11</v>
      </c>
      <c r="M9" s="11">
        <f>INT(14.25+0.5)</f>
        <v>14</v>
      </c>
      <c r="N9" s="45">
        <f>INT(14.25+0.5)</f>
        <v>14</v>
      </c>
      <c r="O9" s="45">
        <f>INT(14.25+0.5)</f>
        <v>14</v>
      </c>
      <c r="P9" s="46">
        <f>INT(33.25+0.5)</f>
        <v>33</v>
      </c>
      <c r="Q9" s="46">
        <f>INT(33.25+0.5)</f>
        <v>33</v>
      </c>
      <c r="R9" s="46">
        <f>INT(82+0.5)</f>
        <v>82</v>
      </c>
      <c r="S9" s="46">
        <f>INT(81.9+0.5)</f>
        <v>82</v>
      </c>
      <c r="T9" s="46">
        <f>INT(81.9+0.5)</f>
        <v>82</v>
      </c>
      <c r="U9" s="46">
        <f>INT(81.9+0.5)</f>
        <v>82</v>
      </c>
      <c r="V9" s="46">
        <f>INT(192.13+0.5)</f>
        <v>192</v>
      </c>
      <c r="W9" s="46">
        <f>INT(237.01+0.5)</f>
        <v>237</v>
      </c>
      <c r="X9" s="11">
        <f>INT(273.01+0.5)</f>
        <v>273</v>
      </c>
      <c r="Y9" s="47">
        <f>INT(369.81+0.5)</f>
        <v>370</v>
      </c>
      <c r="Z9" s="46">
        <f>INT(420.61+0.5)</f>
        <v>421</v>
      </c>
      <c r="AA9" s="46">
        <f>INT(420.61+0.5)</f>
        <v>421</v>
      </c>
      <c r="AB9" s="46">
        <f>INT(440.61+0.5)</f>
        <v>441</v>
      </c>
      <c r="AC9" s="45">
        <f>INT(469.37+0.5)</f>
        <v>469</v>
      </c>
      <c r="AD9" s="45">
        <f>INT(498.55+0.5)</f>
        <v>499</v>
      </c>
      <c r="AE9" s="48">
        <v>531.21</v>
      </c>
      <c r="AG9" s="36">
        <v>452</v>
      </c>
    </row>
    <row r="10" spans="2:33" ht="12.75">
      <c r="B10" s="3" t="s">
        <v>5</v>
      </c>
      <c r="C10" s="11">
        <v>0</v>
      </c>
      <c r="D10" s="16">
        <f>INT(1+0.5)</f>
        <v>1</v>
      </c>
      <c r="E10" s="16">
        <f>INT(3.1+0.5)</f>
        <v>3</v>
      </c>
      <c r="F10" s="16">
        <f>INT(7.45+0.5)</f>
        <v>7</v>
      </c>
      <c r="G10" s="16">
        <f>INT(13.4+0.5)</f>
        <v>13</v>
      </c>
      <c r="H10" s="16">
        <f>INT(20.9+0.5)</f>
        <v>21</v>
      </c>
      <c r="I10" s="16">
        <f>INT(26.81+0.5)</f>
        <v>27</v>
      </c>
      <c r="J10" s="16">
        <v>33.69</v>
      </c>
      <c r="K10" s="16">
        <f>INT(48.32+0.5)</f>
        <v>48</v>
      </c>
      <c r="L10" s="16">
        <f>INT(67.35+0.5)</f>
        <v>67</v>
      </c>
      <c r="M10" s="11">
        <f>INT(87.939+0.5)</f>
        <v>88</v>
      </c>
      <c r="N10" s="45">
        <f>INT(102.659+0.5)</f>
        <v>103</v>
      </c>
      <c r="O10" s="45">
        <f>INT(112.089+0.5)</f>
        <v>112</v>
      </c>
      <c r="P10" s="46">
        <f>INT(121.579+0.5)</f>
        <v>122</v>
      </c>
      <c r="Q10" s="46">
        <f>INT(131.701+0.5)</f>
        <v>132</v>
      </c>
      <c r="R10" s="46">
        <f>INT(141.081+0.5)</f>
        <v>141</v>
      </c>
      <c r="S10" s="46">
        <f>INT(148.531+0.5)</f>
        <v>149</v>
      </c>
      <c r="T10" s="46">
        <f>INT(154.281+0.5)</f>
        <v>154</v>
      </c>
      <c r="U10" s="46">
        <f>INT(164.101+0.5)</f>
        <v>164</v>
      </c>
      <c r="V10" s="46">
        <f>INT(164.101+0.5)</f>
        <v>164</v>
      </c>
      <c r="W10" s="46">
        <f>INT(179.551+0.5)</f>
        <v>180</v>
      </c>
      <c r="X10" s="11">
        <f>INT(189.611+0.5)</f>
        <v>190</v>
      </c>
      <c r="Y10" s="47">
        <f>INT(192.13+0.5)</f>
        <v>192</v>
      </c>
      <c r="Z10" s="46">
        <f>INT(211.721+0.5)</f>
        <v>212</v>
      </c>
      <c r="AA10" s="46">
        <f>INT(221.771+0.5)</f>
        <v>222</v>
      </c>
      <c r="AB10" s="46">
        <f>INT(235.021+0.5)</f>
        <v>235</v>
      </c>
      <c r="AC10" s="45">
        <f>INT(255.89+0.5)</f>
        <v>256</v>
      </c>
      <c r="AD10" s="45">
        <f>INT(276.221+0.5)</f>
        <v>276</v>
      </c>
      <c r="AE10" s="48">
        <f>INT(306.221+0.5)</f>
        <v>306</v>
      </c>
      <c r="AG10" s="36">
        <v>235</v>
      </c>
    </row>
    <row r="11" spans="2:33" ht="12.75">
      <c r="B11" s="3"/>
      <c r="C11" s="11"/>
      <c r="D11" s="16"/>
      <c r="E11" s="16"/>
      <c r="F11" s="16"/>
      <c r="G11" s="16"/>
      <c r="H11" s="16"/>
      <c r="I11" s="16"/>
      <c r="J11" s="16"/>
      <c r="K11" s="16"/>
      <c r="L11" s="16"/>
      <c r="M11" s="11"/>
      <c r="N11" s="45"/>
      <c r="O11" s="45"/>
      <c r="P11" s="46"/>
      <c r="Q11" s="46"/>
      <c r="R11" s="46"/>
      <c r="S11" s="46"/>
      <c r="T11" s="46"/>
      <c r="U11" s="46"/>
      <c r="V11" s="46"/>
      <c r="W11" s="46"/>
      <c r="X11" s="11"/>
      <c r="Y11" s="47"/>
      <c r="Z11" s="46"/>
      <c r="AA11" s="46"/>
      <c r="AB11" s="46"/>
      <c r="AC11" s="45"/>
      <c r="AD11" s="45"/>
      <c r="AE11" s="48"/>
      <c r="AG11" s="36"/>
    </row>
    <row r="12" spans="2:33" ht="12.75">
      <c r="B12" s="7" t="s">
        <v>1</v>
      </c>
      <c r="C12" s="12">
        <f aca="true" t="shared" si="1" ref="C12:AA12">SUM(C7:C10)</f>
        <v>77</v>
      </c>
      <c r="D12" s="17">
        <f t="shared" si="1"/>
        <v>104</v>
      </c>
      <c r="E12" s="17">
        <f t="shared" si="1"/>
        <v>106</v>
      </c>
      <c r="F12" s="17">
        <f t="shared" si="1"/>
        <v>136</v>
      </c>
      <c r="G12" s="17">
        <f t="shared" si="1"/>
        <v>143</v>
      </c>
      <c r="H12" s="17">
        <f t="shared" si="1"/>
        <v>173</v>
      </c>
      <c r="I12" s="17">
        <f t="shared" si="1"/>
        <v>190</v>
      </c>
      <c r="J12" s="17">
        <f t="shared" si="1"/>
        <v>208.69</v>
      </c>
      <c r="K12" s="17">
        <f t="shared" si="1"/>
        <v>231</v>
      </c>
      <c r="L12" s="17">
        <f t="shared" si="1"/>
        <v>262</v>
      </c>
      <c r="M12" s="12">
        <f t="shared" si="1"/>
        <v>298</v>
      </c>
      <c r="N12" s="27">
        <f>SUM(N7:N10)</f>
        <v>324</v>
      </c>
      <c r="O12" s="27">
        <f t="shared" si="1"/>
        <v>351</v>
      </c>
      <c r="P12" s="30">
        <f t="shared" si="1"/>
        <v>397</v>
      </c>
      <c r="Q12" s="30">
        <f t="shared" si="1"/>
        <v>420</v>
      </c>
      <c r="R12" s="30">
        <f t="shared" si="1"/>
        <v>485</v>
      </c>
      <c r="S12" s="30">
        <f t="shared" si="1"/>
        <v>498</v>
      </c>
      <c r="T12" s="30">
        <f t="shared" si="1"/>
        <v>507</v>
      </c>
      <c r="U12" s="30">
        <f t="shared" si="1"/>
        <v>534</v>
      </c>
      <c r="V12" s="30">
        <f t="shared" si="1"/>
        <v>649</v>
      </c>
      <c r="W12" s="30">
        <f t="shared" si="1"/>
        <v>714</v>
      </c>
      <c r="X12" s="12">
        <f t="shared" si="1"/>
        <v>762</v>
      </c>
      <c r="Y12" s="35">
        <f t="shared" si="1"/>
        <v>894</v>
      </c>
      <c r="Z12" s="30">
        <f t="shared" si="1"/>
        <v>989</v>
      </c>
      <c r="AA12" s="30">
        <f t="shared" si="1"/>
        <v>1026</v>
      </c>
      <c r="AB12" s="30">
        <f>SUM(AB7:AB10)</f>
        <v>1059</v>
      </c>
      <c r="AC12" s="27">
        <f>SUM(AC7:AC10)</f>
        <v>1108</v>
      </c>
      <c r="AD12" s="27">
        <f>SUM(AD7:AD10)</f>
        <v>1160</v>
      </c>
      <c r="AE12" s="40">
        <f>SUM(AE7:AE10)</f>
        <v>1222.21</v>
      </c>
      <c r="AG12" s="37">
        <f>SUM(AG7:AG10)</f>
        <v>1070</v>
      </c>
    </row>
    <row r="13" spans="2:33" ht="12.75">
      <c r="B13" s="4"/>
      <c r="C13" s="9"/>
      <c r="D13" s="18"/>
      <c r="E13" s="18"/>
      <c r="F13" s="18"/>
      <c r="G13" s="18"/>
      <c r="H13" s="18"/>
      <c r="I13" s="18"/>
      <c r="J13" s="18"/>
      <c r="K13" s="18"/>
      <c r="L13" s="18"/>
      <c r="M13" s="24"/>
      <c r="N13" s="24"/>
      <c r="O13" s="49"/>
      <c r="P13" s="50"/>
      <c r="Q13" s="50"/>
      <c r="R13" s="50"/>
      <c r="S13" s="50"/>
      <c r="T13" s="50"/>
      <c r="U13" s="50"/>
      <c r="V13" s="50"/>
      <c r="W13" s="50"/>
      <c r="X13" s="24"/>
      <c r="Y13" s="51"/>
      <c r="Z13" s="50"/>
      <c r="AA13" s="50"/>
      <c r="AB13" s="50"/>
      <c r="AC13" s="49"/>
      <c r="AD13" s="49"/>
      <c r="AE13" s="52"/>
      <c r="AG13" s="23"/>
    </row>
    <row r="14" ht="13.5" customHeight="1"/>
    <row r="15" spans="2:3" ht="12.75">
      <c r="B15" s="20" t="s">
        <v>6</v>
      </c>
      <c r="C15" s="6"/>
    </row>
    <row r="18" ht="12.75">
      <c r="D18" s="1"/>
    </row>
    <row r="19" spans="2:33" ht="15" customHeight="1">
      <c r="B19" s="57" t="s">
        <v>10</v>
      </c>
      <c r="C19" s="58"/>
      <c r="D19" s="58"/>
      <c r="E19" s="58"/>
      <c r="F19" s="58"/>
      <c r="G19" s="5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2:3" ht="12.75">
      <c r="B20" s="8" t="s">
        <v>9</v>
      </c>
      <c r="C20" s="44"/>
    </row>
    <row r="21" spans="2:3" ht="12" customHeight="1">
      <c r="B21" s="44"/>
      <c r="C21" s="44"/>
    </row>
    <row r="22" spans="2:31" ht="12" customHeight="1">
      <c r="B22" s="5"/>
      <c r="C22" s="14">
        <v>39619</v>
      </c>
      <c r="D22" s="13">
        <v>39626</v>
      </c>
      <c r="E22" s="13">
        <v>39633</v>
      </c>
      <c r="F22" s="13">
        <v>39640</v>
      </c>
      <c r="G22" s="13">
        <v>39647</v>
      </c>
      <c r="H22" s="13">
        <v>39654</v>
      </c>
      <c r="I22" s="13">
        <v>39661</v>
      </c>
      <c r="J22" s="13">
        <v>39668</v>
      </c>
      <c r="K22" s="13">
        <v>39675</v>
      </c>
      <c r="L22" s="13">
        <v>39682</v>
      </c>
      <c r="M22" s="13">
        <v>39689</v>
      </c>
      <c r="N22" s="25">
        <v>39696</v>
      </c>
      <c r="O22" s="25">
        <v>39703</v>
      </c>
      <c r="P22" s="28">
        <v>39710</v>
      </c>
      <c r="Q22" s="28">
        <v>39717</v>
      </c>
      <c r="R22" s="28">
        <v>39724</v>
      </c>
      <c r="S22" s="28">
        <v>39731</v>
      </c>
      <c r="T22" s="28">
        <v>39738</v>
      </c>
      <c r="U22" s="28">
        <v>39745</v>
      </c>
      <c r="V22" s="28">
        <v>39752</v>
      </c>
      <c r="W22" s="28">
        <v>39759</v>
      </c>
      <c r="X22" s="31">
        <v>39766</v>
      </c>
      <c r="Y22" s="33">
        <v>39773</v>
      </c>
      <c r="Z22" s="28">
        <v>39780</v>
      </c>
      <c r="AA22" s="28">
        <v>39787</v>
      </c>
      <c r="AB22" s="28">
        <v>39794</v>
      </c>
      <c r="AC22" s="25">
        <v>39801</v>
      </c>
      <c r="AD22" s="25">
        <v>39808</v>
      </c>
      <c r="AE22" s="38">
        <v>39815</v>
      </c>
    </row>
    <row r="23" spans="2:31" ht="12" customHeight="1">
      <c r="B23" s="3"/>
      <c r="C23" s="10"/>
      <c r="D23" s="15"/>
      <c r="E23" s="15"/>
      <c r="F23" s="15"/>
      <c r="G23" s="15"/>
      <c r="H23" s="15"/>
      <c r="I23" s="15"/>
      <c r="J23" s="15"/>
      <c r="K23" s="15"/>
      <c r="L23" s="15"/>
      <c r="M23" s="10"/>
      <c r="N23" s="26"/>
      <c r="O23" s="26"/>
      <c r="P23" s="29"/>
      <c r="Q23" s="29"/>
      <c r="R23" s="29"/>
      <c r="S23" s="29"/>
      <c r="T23" s="29"/>
      <c r="U23" s="29"/>
      <c r="V23" s="29"/>
      <c r="W23" s="29"/>
      <c r="X23" s="10"/>
      <c r="Y23" s="34"/>
      <c r="Z23" s="29"/>
      <c r="AA23" s="29"/>
      <c r="AB23" s="29"/>
      <c r="AC23" s="26"/>
      <c r="AD23" s="26"/>
      <c r="AE23" s="39"/>
    </row>
    <row r="24" spans="2:31" ht="12.75">
      <c r="B24" s="3" t="s">
        <v>2</v>
      </c>
      <c r="C24" s="11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1">
        <v>0</v>
      </c>
      <c r="N24" s="45">
        <v>0</v>
      </c>
      <c r="O24" s="45">
        <v>0</v>
      </c>
      <c r="P24" s="46">
        <v>2.5</v>
      </c>
      <c r="Q24" s="46">
        <v>10</v>
      </c>
      <c r="R24" s="46">
        <f>INT(28.363+0.5)</f>
        <v>28</v>
      </c>
      <c r="S24" s="46">
        <f>INT(51.033+0.5)</f>
        <v>51</v>
      </c>
      <c r="T24" s="46">
        <f>INT(85.23+0.5)</f>
        <v>85</v>
      </c>
      <c r="U24" s="46">
        <f>INT(85.23+0.5)</f>
        <v>85</v>
      </c>
      <c r="V24" s="46">
        <f>INT(119.521+0.5)</f>
        <v>120</v>
      </c>
      <c r="W24" s="46">
        <f>INT(119.521+0.5)</f>
        <v>120</v>
      </c>
      <c r="X24" s="11">
        <f>INT(126.957+0.5)</f>
        <v>127</v>
      </c>
      <c r="Y24" s="47">
        <f>INT(133.365+0.5)</f>
        <v>133</v>
      </c>
      <c r="Z24" s="46">
        <f>INT(183.66+0.5)</f>
        <v>184</v>
      </c>
      <c r="AA24" s="46">
        <f>INT(240+0.5)</f>
        <v>240</v>
      </c>
      <c r="AB24" s="46">
        <f>INT(240+0.5)</f>
        <v>240</v>
      </c>
      <c r="AC24" s="45">
        <f>INT(240+0.5)</f>
        <v>240</v>
      </c>
      <c r="AD24" s="45">
        <f>INT(253.03+0.5)</f>
        <v>253</v>
      </c>
      <c r="AE24" s="48">
        <f>INT(253.03+0.5)</f>
        <v>253</v>
      </c>
    </row>
    <row r="25" spans="2:31" ht="12.75">
      <c r="B25" s="3" t="s">
        <v>0</v>
      </c>
      <c r="C25" s="11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1">
        <v>0</v>
      </c>
      <c r="N25" s="45">
        <v>0</v>
      </c>
      <c r="O25" s="45">
        <v>0</v>
      </c>
      <c r="P25" s="46">
        <v>2.5</v>
      </c>
      <c r="Q25" s="46">
        <v>28</v>
      </c>
      <c r="R25" s="46">
        <f>INT(35.3+0.5)</f>
        <v>35</v>
      </c>
      <c r="S25" s="46">
        <f>INT(43.3+0.5)</f>
        <v>43</v>
      </c>
      <c r="T25" s="46">
        <f>INT(44.25+0.5)</f>
        <v>44</v>
      </c>
      <c r="U25" s="46">
        <f>INT(93.947+0.5)</f>
        <v>94</v>
      </c>
      <c r="V25" s="46">
        <f>INT(106.152+0.5)</f>
        <v>106</v>
      </c>
      <c r="W25" s="46">
        <f>INT(111.165+0.5)</f>
        <v>111</v>
      </c>
      <c r="X25" s="11">
        <f>INT(111.165+0.5)</f>
        <v>111</v>
      </c>
      <c r="Y25" s="47">
        <f>INT(111.165+0.5)</f>
        <v>111</v>
      </c>
      <c r="Z25" s="46">
        <f aca="true" t="shared" si="2" ref="Z25:AE25">INT(159.291+0.5)</f>
        <v>159</v>
      </c>
      <c r="AA25" s="46">
        <f t="shared" si="2"/>
        <v>159</v>
      </c>
      <c r="AB25" s="46">
        <f t="shared" si="2"/>
        <v>159</v>
      </c>
      <c r="AC25" s="45">
        <f t="shared" si="2"/>
        <v>159</v>
      </c>
      <c r="AD25" s="45">
        <f t="shared" si="2"/>
        <v>159</v>
      </c>
      <c r="AE25" s="48">
        <f t="shared" si="2"/>
        <v>159</v>
      </c>
    </row>
    <row r="26" spans="2:31" ht="12.75">
      <c r="B26" s="3" t="s">
        <v>4</v>
      </c>
      <c r="C26" s="11">
        <v>0</v>
      </c>
      <c r="D26" s="16">
        <f aca="true" t="shared" si="3" ref="D26:R26">INT(1.57+0.5)</f>
        <v>2</v>
      </c>
      <c r="E26" s="16">
        <f t="shared" si="3"/>
        <v>2</v>
      </c>
      <c r="F26" s="16">
        <f t="shared" si="3"/>
        <v>2</v>
      </c>
      <c r="G26" s="16">
        <f t="shared" si="3"/>
        <v>2</v>
      </c>
      <c r="H26" s="16">
        <f t="shared" si="3"/>
        <v>2</v>
      </c>
      <c r="I26" s="16">
        <f t="shared" si="3"/>
        <v>2</v>
      </c>
      <c r="J26" s="16">
        <f t="shared" si="3"/>
        <v>2</v>
      </c>
      <c r="K26" s="16">
        <f t="shared" si="3"/>
        <v>2</v>
      </c>
      <c r="L26" s="16">
        <f t="shared" si="3"/>
        <v>2</v>
      </c>
      <c r="M26" s="11">
        <f t="shared" si="3"/>
        <v>2</v>
      </c>
      <c r="N26" s="45">
        <f t="shared" si="3"/>
        <v>2</v>
      </c>
      <c r="O26" s="45">
        <f t="shared" si="3"/>
        <v>2</v>
      </c>
      <c r="P26" s="46">
        <f t="shared" si="3"/>
        <v>2</v>
      </c>
      <c r="Q26" s="46">
        <f t="shared" si="3"/>
        <v>2</v>
      </c>
      <c r="R26" s="46">
        <f t="shared" si="3"/>
        <v>2</v>
      </c>
      <c r="S26" s="46">
        <f>INT(12.5+0.5)</f>
        <v>13</v>
      </c>
      <c r="T26" s="46">
        <f>INT(12.5+0.5)</f>
        <v>13</v>
      </c>
      <c r="U26" s="46">
        <f>INT(12.5+0.5)</f>
        <v>13</v>
      </c>
      <c r="V26" s="46">
        <f>INT(32.5+0.5)</f>
        <v>33</v>
      </c>
      <c r="W26" s="46">
        <f>INT(32.5+0.5)</f>
        <v>33</v>
      </c>
      <c r="X26" s="11">
        <f>INT(32.5+0.5)</f>
        <v>33</v>
      </c>
      <c r="Y26" s="47">
        <f>INT(137.5+0.5)</f>
        <v>138</v>
      </c>
      <c r="Z26" s="46">
        <f>INT(167.5+0.5)</f>
        <v>168</v>
      </c>
      <c r="AA26" s="46">
        <f>INT(167.5+0.5)</f>
        <v>168</v>
      </c>
      <c r="AB26" s="46">
        <f>INT(238.5+0.5)</f>
        <v>239</v>
      </c>
      <c r="AC26" s="45">
        <f>INT(310.5+0.5)</f>
        <v>311</v>
      </c>
      <c r="AD26" s="45">
        <f>INT(478.765+0.5)</f>
        <v>479</v>
      </c>
      <c r="AE26" s="48">
        <f>INT(570+0.5)</f>
        <v>570</v>
      </c>
    </row>
    <row r="27" spans="2:31" ht="12.75">
      <c r="B27" s="3" t="s">
        <v>5</v>
      </c>
      <c r="C27" s="11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1">
        <v>0</v>
      </c>
      <c r="N27" s="45">
        <v>0</v>
      </c>
      <c r="O27" s="45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11">
        <f>INT(19+0.5)</f>
        <v>19</v>
      </c>
      <c r="Y27" s="47">
        <f>INT(32.5+0.5)</f>
        <v>33</v>
      </c>
      <c r="Z27" s="46">
        <f>INT(53+0.5)</f>
        <v>53</v>
      </c>
      <c r="AA27" s="46">
        <f>INT(65+0.5)</f>
        <v>65</v>
      </c>
      <c r="AB27" s="46">
        <f>INT(83+0.5)</f>
        <v>83</v>
      </c>
      <c r="AC27" s="45">
        <f>INT(127.9+0.5)</f>
        <v>128</v>
      </c>
      <c r="AD27" s="45">
        <f>INT(210.5+0.5)</f>
        <v>211</v>
      </c>
      <c r="AE27" s="48">
        <f>INT(341.5+0.5)</f>
        <v>342</v>
      </c>
    </row>
    <row r="28" spans="2:31" ht="12.75">
      <c r="B28" s="3"/>
      <c r="C28" s="11"/>
      <c r="D28" s="16"/>
      <c r="E28" s="16"/>
      <c r="F28" s="16"/>
      <c r="G28" s="16"/>
      <c r="H28" s="16"/>
      <c r="I28" s="16"/>
      <c r="J28" s="16"/>
      <c r="K28" s="16"/>
      <c r="L28" s="16"/>
      <c r="M28" s="11"/>
      <c r="N28" s="45"/>
      <c r="O28" s="45"/>
      <c r="P28" s="46"/>
      <c r="Q28" s="46"/>
      <c r="R28" s="46"/>
      <c r="S28" s="46"/>
      <c r="T28" s="46"/>
      <c r="U28" s="46"/>
      <c r="V28" s="46"/>
      <c r="W28" s="46"/>
      <c r="X28" s="11"/>
      <c r="Y28" s="47"/>
      <c r="Z28" s="46"/>
      <c r="AA28" s="46"/>
      <c r="AB28" s="46"/>
      <c r="AC28" s="45"/>
      <c r="AD28" s="45"/>
      <c r="AE28" s="48"/>
    </row>
    <row r="29" spans="2:31" ht="12.75">
      <c r="B29" s="7" t="s">
        <v>1</v>
      </c>
      <c r="C29" s="12">
        <f aca="true" t="shared" si="4" ref="C29:AA29">SUM(C24:C27)</f>
        <v>0</v>
      </c>
      <c r="D29" s="17">
        <f t="shared" si="4"/>
        <v>2</v>
      </c>
      <c r="E29" s="17">
        <f t="shared" si="4"/>
        <v>2</v>
      </c>
      <c r="F29" s="17">
        <f t="shared" si="4"/>
        <v>2</v>
      </c>
      <c r="G29" s="17">
        <f t="shared" si="4"/>
        <v>2</v>
      </c>
      <c r="H29" s="17">
        <f t="shared" si="4"/>
        <v>2</v>
      </c>
      <c r="I29" s="17">
        <f t="shared" si="4"/>
        <v>2</v>
      </c>
      <c r="J29" s="17">
        <f t="shared" si="4"/>
        <v>2</v>
      </c>
      <c r="K29" s="17">
        <f t="shared" si="4"/>
        <v>2</v>
      </c>
      <c r="L29" s="17">
        <f t="shared" si="4"/>
        <v>2</v>
      </c>
      <c r="M29" s="12">
        <f t="shared" si="4"/>
        <v>2</v>
      </c>
      <c r="N29" s="27">
        <f>SUM(N24:N27)</f>
        <v>2</v>
      </c>
      <c r="O29" s="27">
        <f t="shared" si="4"/>
        <v>2</v>
      </c>
      <c r="P29" s="30">
        <f t="shared" si="4"/>
        <v>7</v>
      </c>
      <c r="Q29" s="30">
        <f t="shared" si="4"/>
        <v>40</v>
      </c>
      <c r="R29" s="30">
        <f t="shared" si="4"/>
        <v>65</v>
      </c>
      <c r="S29" s="30">
        <f t="shared" si="4"/>
        <v>107</v>
      </c>
      <c r="T29" s="30">
        <f t="shared" si="4"/>
        <v>142</v>
      </c>
      <c r="U29" s="30">
        <f t="shared" si="4"/>
        <v>192</v>
      </c>
      <c r="V29" s="30">
        <f t="shared" si="4"/>
        <v>259</v>
      </c>
      <c r="W29" s="30">
        <f t="shared" si="4"/>
        <v>264</v>
      </c>
      <c r="X29" s="12">
        <f t="shared" si="4"/>
        <v>290</v>
      </c>
      <c r="Y29" s="35">
        <f t="shared" si="4"/>
        <v>415</v>
      </c>
      <c r="Z29" s="30">
        <f t="shared" si="4"/>
        <v>564</v>
      </c>
      <c r="AA29" s="30">
        <f t="shared" si="4"/>
        <v>632</v>
      </c>
      <c r="AB29" s="30">
        <f>SUM(AB24:AB27)</f>
        <v>721</v>
      </c>
      <c r="AC29" s="27">
        <f>SUM(AC24:AC27)</f>
        <v>838</v>
      </c>
      <c r="AD29" s="27">
        <f>SUM(AD24:AD27)</f>
        <v>1102</v>
      </c>
      <c r="AE29" s="40">
        <f>SUM(AE24:AE27)</f>
        <v>1324</v>
      </c>
    </row>
    <row r="30" spans="2:31" ht="12.75">
      <c r="B30" s="4"/>
      <c r="C30" s="9"/>
      <c r="D30" s="18"/>
      <c r="E30" s="18"/>
      <c r="F30" s="18"/>
      <c r="G30" s="18"/>
      <c r="H30" s="18"/>
      <c r="I30" s="18"/>
      <c r="J30" s="18"/>
      <c r="K30" s="18"/>
      <c r="L30" s="18"/>
      <c r="M30" s="24"/>
      <c r="N30" s="24"/>
      <c r="O30" s="49"/>
      <c r="P30" s="50"/>
      <c r="Q30" s="50"/>
      <c r="R30" s="50"/>
      <c r="S30" s="50"/>
      <c r="T30" s="50"/>
      <c r="U30" s="50"/>
      <c r="V30" s="50"/>
      <c r="W30" s="50"/>
      <c r="X30" s="24"/>
      <c r="Y30" s="51"/>
      <c r="Z30" s="50"/>
      <c r="AA30" s="50"/>
      <c r="AB30" s="50"/>
      <c r="AC30" s="49"/>
      <c r="AD30" s="49"/>
      <c r="AE30" s="52"/>
    </row>
    <row r="31" ht="13.5" customHeight="1"/>
    <row r="32" spans="2:3" ht="12.75">
      <c r="B32" s="20" t="s">
        <v>6</v>
      </c>
      <c r="C32" s="6"/>
    </row>
    <row r="36" spans="2:9" ht="12.75">
      <c r="B36" s="57" t="s">
        <v>11</v>
      </c>
      <c r="C36" s="58"/>
      <c r="D36" s="59"/>
      <c r="E36" s="59"/>
      <c r="F36" s="59"/>
      <c r="G36" s="59"/>
      <c r="H36" s="60"/>
      <c r="I36" s="60"/>
    </row>
    <row r="37" spans="2:3" ht="12.75">
      <c r="B37" s="8" t="s">
        <v>12</v>
      </c>
      <c r="C37" s="44"/>
    </row>
    <row r="38" spans="2:3" ht="12.75">
      <c r="B38" s="44"/>
      <c r="C38" s="44"/>
    </row>
    <row r="39" spans="2:33" ht="12.75">
      <c r="B39" s="5"/>
      <c r="C39" s="14">
        <v>39619</v>
      </c>
      <c r="D39" s="13">
        <v>39626</v>
      </c>
      <c r="E39" s="13">
        <v>39633</v>
      </c>
      <c r="F39" s="13">
        <v>39640</v>
      </c>
      <c r="G39" s="13">
        <v>39647</v>
      </c>
      <c r="H39" s="13">
        <v>39654</v>
      </c>
      <c r="I39" s="13">
        <v>39661</v>
      </c>
      <c r="J39" s="13">
        <v>39668</v>
      </c>
      <c r="K39" s="13">
        <v>39675</v>
      </c>
      <c r="L39" s="13">
        <v>39682</v>
      </c>
      <c r="M39" s="13">
        <v>39689</v>
      </c>
      <c r="N39" s="25">
        <v>39696</v>
      </c>
      <c r="O39" s="25">
        <v>39703</v>
      </c>
      <c r="P39" s="28">
        <v>39710</v>
      </c>
      <c r="Q39" s="28">
        <v>39717</v>
      </c>
      <c r="R39" s="28">
        <v>39724</v>
      </c>
      <c r="S39" s="28">
        <v>39731</v>
      </c>
      <c r="T39" s="28">
        <v>39738</v>
      </c>
      <c r="U39" s="28">
        <v>39745</v>
      </c>
      <c r="V39" s="28">
        <v>39752</v>
      </c>
      <c r="W39" s="28">
        <v>39759</v>
      </c>
      <c r="X39" s="31">
        <v>39766</v>
      </c>
      <c r="Y39" s="33">
        <v>39773</v>
      </c>
      <c r="Z39" s="28">
        <v>39780</v>
      </c>
      <c r="AA39" s="28">
        <v>39787</v>
      </c>
      <c r="AB39" s="28">
        <v>39794</v>
      </c>
      <c r="AC39" s="25">
        <v>39801</v>
      </c>
      <c r="AD39" s="25">
        <v>39808</v>
      </c>
      <c r="AE39" s="38">
        <v>39815</v>
      </c>
      <c r="AG39" s="21" t="s">
        <v>3</v>
      </c>
    </row>
    <row r="40" spans="2:33" ht="12.75">
      <c r="B40" s="3"/>
      <c r="C40" s="10"/>
      <c r="D40" s="15"/>
      <c r="E40" s="15"/>
      <c r="F40" s="15"/>
      <c r="G40" s="15"/>
      <c r="H40" s="15"/>
      <c r="I40" s="15"/>
      <c r="J40" s="15"/>
      <c r="K40" s="15"/>
      <c r="L40" s="15"/>
      <c r="M40" s="10"/>
      <c r="N40" s="26"/>
      <c r="O40" s="26"/>
      <c r="P40" s="29"/>
      <c r="Q40" s="29"/>
      <c r="R40" s="29"/>
      <c r="S40" s="29"/>
      <c r="T40" s="29"/>
      <c r="U40" s="29"/>
      <c r="V40" s="29"/>
      <c r="W40" s="29"/>
      <c r="X40" s="10"/>
      <c r="Y40" s="34"/>
      <c r="Z40" s="29"/>
      <c r="AA40" s="29"/>
      <c r="AB40" s="29"/>
      <c r="AC40" s="26"/>
      <c r="AD40" s="26"/>
      <c r="AE40" s="41"/>
      <c r="AG40" s="22"/>
    </row>
    <row r="41" spans="2:33" ht="12.75">
      <c r="B41" s="3" t="s">
        <v>2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47">
        <v>0</v>
      </c>
      <c r="V41" s="47">
        <v>0</v>
      </c>
      <c r="W41" s="47">
        <v>0</v>
      </c>
      <c r="X41" s="47">
        <v>0</v>
      </c>
      <c r="Y41" s="47">
        <v>0</v>
      </c>
      <c r="Z41" s="46">
        <v>0</v>
      </c>
      <c r="AA41" s="46">
        <v>2</v>
      </c>
      <c r="AB41" s="46">
        <v>4</v>
      </c>
      <c r="AC41" s="45">
        <v>5</v>
      </c>
      <c r="AD41" s="45">
        <v>5</v>
      </c>
      <c r="AE41" s="53">
        <v>6</v>
      </c>
      <c r="AG41" s="36">
        <v>6</v>
      </c>
    </row>
    <row r="42" spans="2:33" ht="12.75">
      <c r="B42" s="3" t="s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47">
        <v>0</v>
      </c>
      <c r="V42" s="47">
        <v>0</v>
      </c>
      <c r="W42" s="47">
        <v>0</v>
      </c>
      <c r="X42" s="47">
        <v>0</v>
      </c>
      <c r="Y42" s="47">
        <v>0</v>
      </c>
      <c r="Z42" s="46">
        <v>0</v>
      </c>
      <c r="AA42" s="46">
        <v>2</v>
      </c>
      <c r="AB42" s="46">
        <v>4</v>
      </c>
      <c r="AC42" s="45">
        <v>5</v>
      </c>
      <c r="AD42" s="45">
        <v>6</v>
      </c>
      <c r="AE42" s="53">
        <v>6</v>
      </c>
      <c r="AG42" s="36">
        <v>6</v>
      </c>
    </row>
    <row r="43" spans="2:33" ht="12.75">
      <c r="B43" s="3" t="s">
        <v>4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>
        <v>0</v>
      </c>
      <c r="V43" s="47">
        <v>0</v>
      </c>
      <c r="W43" s="47">
        <v>0</v>
      </c>
      <c r="X43" s="47">
        <v>0</v>
      </c>
      <c r="Y43" s="47">
        <v>0</v>
      </c>
      <c r="Z43" s="46">
        <v>0</v>
      </c>
      <c r="AA43" s="46">
        <v>9</v>
      </c>
      <c r="AB43" s="46">
        <v>12</v>
      </c>
      <c r="AC43" s="45">
        <v>13</v>
      </c>
      <c r="AD43" s="45">
        <v>15</v>
      </c>
      <c r="AE43" s="53">
        <v>15</v>
      </c>
      <c r="AG43" s="36">
        <v>15</v>
      </c>
    </row>
    <row r="44" spans="2:33" ht="12.75">
      <c r="B44" s="3" t="s">
        <v>5</v>
      </c>
      <c r="C44" s="47">
        <v>0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>
        <v>0</v>
      </c>
      <c r="V44" s="47">
        <v>0</v>
      </c>
      <c r="W44" s="47">
        <v>0</v>
      </c>
      <c r="X44" s="47">
        <v>0</v>
      </c>
      <c r="Y44" s="47">
        <v>0</v>
      </c>
      <c r="Z44" s="46">
        <v>0</v>
      </c>
      <c r="AA44" s="46">
        <v>2</v>
      </c>
      <c r="AB44" s="46">
        <v>5</v>
      </c>
      <c r="AC44" s="45">
        <v>5</v>
      </c>
      <c r="AD44" s="45">
        <v>5</v>
      </c>
      <c r="AE44" s="53">
        <v>6</v>
      </c>
      <c r="AG44" s="36">
        <v>6</v>
      </c>
    </row>
    <row r="45" spans="2:33" ht="12.75">
      <c r="B45" s="3"/>
      <c r="C45" s="11"/>
      <c r="D45" s="16"/>
      <c r="E45" s="16"/>
      <c r="F45" s="16"/>
      <c r="G45" s="16"/>
      <c r="H45" s="16"/>
      <c r="I45" s="16"/>
      <c r="J45" s="16"/>
      <c r="K45" s="16"/>
      <c r="L45" s="16"/>
      <c r="M45" s="11"/>
      <c r="N45" s="45"/>
      <c r="O45" s="45"/>
      <c r="P45" s="46"/>
      <c r="Q45" s="46"/>
      <c r="R45" s="46"/>
      <c r="S45" s="46"/>
      <c r="T45" s="46"/>
      <c r="U45" s="46"/>
      <c r="V45" s="46"/>
      <c r="W45" s="46"/>
      <c r="X45" s="11"/>
      <c r="Y45" s="47"/>
      <c r="Z45" s="46"/>
      <c r="AA45" s="46"/>
      <c r="AB45" s="46"/>
      <c r="AC45" s="45"/>
      <c r="AD45" s="45"/>
      <c r="AE45" s="53"/>
      <c r="AG45" s="36"/>
    </row>
    <row r="46" spans="2:33" ht="12.75">
      <c r="B46" s="7" t="s">
        <v>1</v>
      </c>
      <c r="C46" s="35">
        <f aca="true" t="shared" si="5" ref="C46:AE46">SUM(C41:C44)</f>
        <v>0</v>
      </c>
      <c r="D46" s="35">
        <f t="shared" si="5"/>
        <v>0</v>
      </c>
      <c r="E46" s="35">
        <f t="shared" si="5"/>
        <v>0</v>
      </c>
      <c r="F46" s="35">
        <f t="shared" si="5"/>
        <v>0</v>
      </c>
      <c r="G46" s="35">
        <f t="shared" si="5"/>
        <v>0</v>
      </c>
      <c r="H46" s="35">
        <f t="shared" si="5"/>
        <v>0</v>
      </c>
      <c r="I46" s="35">
        <f t="shared" si="5"/>
        <v>0</v>
      </c>
      <c r="J46" s="35">
        <f t="shared" si="5"/>
        <v>0</v>
      </c>
      <c r="K46" s="35">
        <f t="shared" si="5"/>
        <v>0</v>
      </c>
      <c r="L46" s="35">
        <f t="shared" si="5"/>
        <v>0</v>
      </c>
      <c r="M46" s="35">
        <f t="shared" si="5"/>
        <v>0</v>
      </c>
      <c r="N46" s="35">
        <f t="shared" si="5"/>
        <v>0</v>
      </c>
      <c r="O46" s="35">
        <f t="shared" si="5"/>
        <v>0</v>
      </c>
      <c r="P46" s="35">
        <f t="shared" si="5"/>
        <v>0</v>
      </c>
      <c r="Q46" s="35">
        <f t="shared" si="5"/>
        <v>0</v>
      </c>
      <c r="R46" s="35">
        <f t="shared" si="5"/>
        <v>0</v>
      </c>
      <c r="S46" s="35">
        <f t="shared" si="5"/>
        <v>0</v>
      </c>
      <c r="T46" s="35">
        <f t="shared" si="5"/>
        <v>0</v>
      </c>
      <c r="U46" s="35">
        <f t="shared" si="5"/>
        <v>0</v>
      </c>
      <c r="V46" s="35">
        <f t="shared" si="5"/>
        <v>0</v>
      </c>
      <c r="W46" s="35">
        <f t="shared" si="5"/>
        <v>0</v>
      </c>
      <c r="X46" s="35">
        <f t="shared" si="5"/>
        <v>0</v>
      </c>
      <c r="Y46" s="35">
        <f t="shared" si="5"/>
        <v>0</v>
      </c>
      <c r="Z46" s="30">
        <f t="shared" si="5"/>
        <v>0</v>
      </c>
      <c r="AA46" s="30">
        <f t="shared" si="5"/>
        <v>15</v>
      </c>
      <c r="AB46" s="30">
        <f t="shared" si="5"/>
        <v>25</v>
      </c>
      <c r="AC46" s="27">
        <f t="shared" si="5"/>
        <v>28</v>
      </c>
      <c r="AD46" s="27">
        <f>SUM(AD41:AD44)</f>
        <v>31</v>
      </c>
      <c r="AE46" s="42">
        <f t="shared" si="5"/>
        <v>33</v>
      </c>
      <c r="AG46" s="37">
        <f>SUM(AG41:AG44)</f>
        <v>33</v>
      </c>
    </row>
    <row r="47" spans="2:33" ht="12.75">
      <c r="B47" s="4"/>
      <c r="C47" s="9"/>
      <c r="D47" s="18"/>
      <c r="E47" s="18"/>
      <c r="F47" s="18"/>
      <c r="G47" s="18"/>
      <c r="H47" s="18"/>
      <c r="I47" s="18"/>
      <c r="J47" s="18"/>
      <c r="K47" s="18"/>
      <c r="L47" s="18"/>
      <c r="M47" s="24"/>
      <c r="N47" s="24"/>
      <c r="O47" s="49"/>
      <c r="P47" s="50"/>
      <c r="Q47" s="50"/>
      <c r="R47" s="50"/>
      <c r="S47" s="50"/>
      <c r="T47" s="50"/>
      <c r="U47" s="50"/>
      <c r="V47" s="50"/>
      <c r="W47" s="50"/>
      <c r="X47" s="24"/>
      <c r="Y47" s="51"/>
      <c r="Z47" s="50"/>
      <c r="AA47" s="50"/>
      <c r="AB47" s="50"/>
      <c r="AC47" s="49"/>
      <c r="AD47" s="49"/>
      <c r="AE47" s="54"/>
      <c r="AG47" s="23"/>
    </row>
    <row r="49" ht="12.75">
      <c r="B49" s="32" t="s">
        <v>7</v>
      </c>
    </row>
    <row r="50" spans="2:3" ht="12.75">
      <c r="B50" s="20" t="s">
        <v>6</v>
      </c>
      <c r="C50" s="6"/>
    </row>
  </sheetData>
  <sheetProtection/>
  <mergeCells count="3">
    <mergeCell ref="B19:G19"/>
    <mergeCell ref="B2:I2"/>
    <mergeCell ref="B36:I3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N86"/>
  <sheetViews>
    <sheetView showGridLines="0" tabSelected="1" zoomScalePageLayoutView="0" workbookViewId="0" topLeftCell="A43">
      <selection activeCell="O55" sqref="O55"/>
    </sheetView>
  </sheetViews>
  <sheetFormatPr defaultColWidth="9.140625" defaultRowHeight="12.75"/>
  <sheetData>
    <row r="3" spans="3:14" ht="12.75" customHeight="1">
      <c r="C3" s="57" t="s">
        <v>8</v>
      </c>
      <c r="D3" s="58"/>
      <c r="E3" s="58"/>
      <c r="F3" s="58"/>
      <c r="G3" s="58"/>
      <c r="H3" s="58"/>
      <c r="I3" s="58"/>
      <c r="J3" s="58"/>
      <c r="K3" s="55"/>
      <c r="L3" s="55"/>
      <c r="M3" s="55"/>
      <c r="N3" s="55"/>
    </row>
    <row r="4" spans="3:14" ht="12.75">
      <c r="C4" s="8" t="s">
        <v>9</v>
      </c>
      <c r="D4" s="44"/>
      <c r="K4" s="55"/>
      <c r="L4" s="55"/>
      <c r="M4" s="55"/>
      <c r="N4" s="55"/>
    </row>
    <row r="5" ht="6.75" customHeight="1"/>
    <row r="6" ht="18" customHeight="1"/>
    <row r="18" ht="12.75">
      <c r="N18" s="19"/>
    </row>
    <row r="27" ht="7.5" customHeight="1"/>
    <row r="28" spans="3:4" ht="12.75">
      <c r="C28" s="20" t="s">
        <v>6</v>
      </c>
      <c r="D28" s="6"/>
    </row>
    <row r="30" spans="5:14" ht="12.75" customHeight="1">
      <c r="E30" s="1"/>
      <c r="I30" s="55"/>
      <c r="J30" s="55"/>
      <c r="K30" s="55"/>
      <c r="L30" s="55"/>
      <c r="M30" s="55"/>
      <c r="N30" s="43"/>
    </row>
    <row r="31" spans="3:13" ht="12.75">
      <c r="C31" s="57" t="s">
        <v>10</v>
      </c>
      <c r="D31" s="58"/>
      <c r="E31" s="58"/>
      <c r="F31" s="58"/>
      <c r="G31" s="58"/>
      <c r="H31" s="58"/>
      <c r="I31" s="8"/>
      <c r="J31" s="8"/>
      <c r="K31" s="8"/>
      <c r="L31" s="8"/>
      <c r="M31" s="8"/>
    </row>
    <row r="32" spans="3:4" ht="18.75" customHeight="1">
      <c r="C32" s="8" t="s">
        <v>9</v>
      </c>
      <c r="D32" s="44"/>
    </row>
    <row r="54" ht="7.5" customHeight="1"/>
    <row r="55" spans="3:14" ht="12.75">
      <c r="C55" s="20" t="s">
        <v>6</v>
      </c>
      <c r="D55" s="6"/>
      <c r="K55" s="56"/>
      <c r="L55" s="56"/>
      <c r="M55" s="56"/>
      <c r="N55" s="56"/>
    </row>
    <row r="56" spans="11:14" ht="12.75">
      <c r="K56" s="56"/>
      <c r="L56" s="56"/>
      <c r="M56" s="56"/>
      <c r="N56" s="56"/>
    </row>
    <row r="57" spans="11:14" ht="12.75">
      <c r="K57" s="56"/>
      <c r="L57" s="56"/>
      <c r="M57" s="56"/>
      <c r="N57" s="56"/>
    </row>
    <row r="58" spans="11:14" ht="12.75">
      <c r="K58" s="56"/>
      <c r="L58" s="56"/>
      <c r="M58" s="56"/>
      <c r="N58" s="56"/>
    </row>
    <row r="59" spans="3:14" ht="12.75" customHeight="1">
      <c r="C59" s="57" t="s">
        <v>11</v>
      </c>
      <c r="D59" s="58"/>
      <c r="E59" s="59"/>
      <c r="F59" s="59"/>
      <c r="G59" s="59"/>
      <c r="H59" s="59"/>
      <c r="I59" s="60"/>
      <c r="J59" s="60"/>
      <c r="K59" s="56"/>
      <c r="L59" s="56"/>
      <c r="M59" s="56"/>
      <c r="N59" s="56"/>
    </row>
    <row r="60" spans="3:14" ht="12.75">
      <c r="C60" s="8" t="s">
        <v>12</v>
      </c>
      <c r="D60" s="44"/>
      <c r="K60" s="56"/>
      <c r="L60" s="56"/>
      <c r="M60" s="56"/>
      <c r="N60" s="56"/>
    </row>
    <row r="61" ht="6.75" customHeight="1"/>
    <row r="62" ht="18" customHeight="1"/>
    <row r="74" ht="12.75">
      <c r="N74" s="19"/>
    </row>
    <row r="83" ht="12.75">
      <c r="C83" s="32" t="s">
        <v>7</v>
      </c>
    </row>
    <row r="84" ht="12.75">
      <c r="C84" s="20" t="s">
        <v>6</v>
      </c>
    </row>
    <row r="85" ht="12.75">
      <c r="C85" s="32"/>
    </row>
    <row r="86" ht="12.75">
      <c r="C86" s="20"/>
    </row>
  </sheetData>
  <sheetProtection/>
  <mergeCells count="3">
    <mergeCell ref="C3:J3"/>
    <mergeCell ref="C31:H31"/>
    <mergeCell ref="C59:J5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2010-04-07T16:32:35Z</dcterms:modified>
  <cp:category/>
  <cp:version/>
  <cp:contentType/>
  <cp:contentStatus/>
</cp:coreProperties>
</file>