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STAS FRamos\DRCN 2021 - Felicidade Ramos\PRR\Quadros PRR\Junho 2023\"/>
    </mc:Choice>
  </mc:AlternateContent>
  <bookViews>
    <workbookView xWindow="0" yWindow="0" windowWidth="28800" windowHeight="12300" tabRatio="773" activeTab="7"/>
  </bookViews>
  <sheets>
    <sheet name="Dashboard" sheetId="24" r:id="rId1"/>
    <sheet name="Pagamentos por Projeto" sheetId="31" state="hidden" r:id="rId2"/>
    <sheet name="Contratação por Projeto" sheetId="30" state="hidden" r:id="rId3"/>
    <sheet name="Contagem" sheetId="29" state="hidden" r:id="rId4"/>
    <sheet name="Contrato FSG" sheetId="34" state="hidden" r:id="rId5"/>
    <sheet name="Listagem" sheetId="23" r:id="rId6"/>
    <sheet name="Controlo Plurianual" sheetId="35" r:id="rId7"/>
    <sheet name="Controlo" sheetId="22" r:id="rId8"/>
    <sheet name="PRR Direto da DRCN(sIVA)" sheetId="21" state="hidden" r:id="rId9"/>
    <sheet name="Castelo Guimaraes_12877" sheetId="16" state="hidden" r:id="rId10"/>
    <sheet name="Concatedral Miranda_12894" sheetId="18" state="hidden" r:id="rId11"/>
    <sheet name="Igreja Sao Miguel_12896" sheetId="17" state="hidden" r:id="rId12"/>
    <sheet name="Museu Alberto Sampaio_12897" sheetId="20" state="hidden" r:id="rId13"/>
    <sheet name="Paço Duques_12898" sheetId="19" state="hidden" r:id="rId14"/>
  </sheets>
  <definedNames>
    <definedName name="_xlnm._FilterDatabase" localSheetId="5" hidden="1">Listagem!$A$1:$AB$17</definedName>
    <definedName name="_xlnm._FilterDatabase" localSheetId="8" hidden="1">'PRR Direto da DRCN(sIVA)'!$B$2:$H$26</definedName>
    <definedName name="_xlnm.Print_Area" localSheetId="8">'PRR Direto da DRCN(sIVA)'!$A$1:$L$24</definedName>
    <definedName name="SegmentaçãoDeDados_CE">#N/A</definedName>
    <definedName name="SegmentaçãoDeDados_Entidade">#N/A</definedName>
    <definedName name="SegmentaçãoDeDados_Projeto">#N/A</definedName>
    <definedName name="SegmentaçãoDeDados_Tipo_de_procedimento">#N/A</definedName>
  </definedNames>
  <calcPr calcId="162913"/>
  <pivotCaches>
    <pivotCache cacheId="17" r:id="rId15"/>
  </pivotCaches>
  <extLst>
    <ext xmlns:x14="http://schemas.microsoft.com/office/spreadsheetml/2009/9/main" uri="{BBE1A952-AA13-448e-AADC-164F8A28A991}">
      <x14:slicerCaches>
        <x14:slicerCache r:id="rId16"/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5" l="1"/>
  <c r="J4" i="35"/>
  <c r="I2" i="35"/>
  <c r="I4" i="35"/>
  <c r="F4" i="22"/>
  <c r="E4" i="22"/>
  <c r="D4" i="22"/>
  <c r="H2" i="22"/>
  <c r="G2" i="22"/>
  <c r="E2" i="22"/>
  <c r="D2" i="22"/>
  <c r="S5" i="23" l="1"/>
  <c r="R5" i="23"/>
  <c r="O23" i="24"/>
  <c r="O15" i="24"/>
  <c r="Z4" i="17" l="1"/>
  <c r="Q5" i="16"/>
  <c r="P5" i="16"/>
  <c r="I7" i="35" l="1"/>
  <c r="J7" i="35" s="1"/>
  <c r="H2" i="35"/>
  <c r="AB12" i="23" l="1"/>
  <c r="Q5" i="17" l="1"/>
  <c r="S13" i="23"/>
  <c r="S15" i="23" l="1"/>
  <c r="Q2" i="20"/>
  <c r="H4" i="35" l="1"/>
  <c r="H6" i="35"/>
  <c r="F7" i="35"/>
  <c r="E7" i="35"/>
  <c r="D7" i="35"/>
  <c r="C7" i="35"/>
  <c r="G6" i="35"/>
  <c r="G5" i="35"/>
  <c r="H5" i="35" s="1"/>
  <c r="G4" i="35"/>
  <c r="G2" i="35"/>
  <c r="O19" i="24"/>
  <c r="O7" i="24"/>
  <c r="O11" i="24"/>
  <c r="AB17" i="23" l="1"/>
  <c r="AB16" i="23"/>
  <c r="S12" i="23"/>
  <c r="R12" i="23" s="1"/>
  <c r="AB11" i="23"/>
  <c r="R11" i="23"/>
  <c r="AB10" i="23"/>
  <c r="R10" i="23"/>
  <c r="AB8" i="23"/>
  <c r="R8" i="23"/>
  <c r="AB7" i="23"/>
  <c r="R7" i="23"/>
  <c r="AB6" i="23"/>
  <c r="R6" i="23"/>
  <c r="S4" i="23"/>
  <c r="AB4" i="23" s="1"/>
  <c r="AB3" i="23"/>
  <c r="R3" i="23"/>
  <c r="AB2" i="23"/>
  <c r="R2" i="23"/>
  <c r="H6" i="22"/>
  <c r="G4" i="22"/>
  <c r="G6" i="22"/>
  <c r="F6" i="22"/>
  <c r="F5" i="22"/>
  <c r="H4" i="22"/>
  <c r="F2" i="22"/>
  <c r="Z3" i="19"/>
  <c r="Z2" i="19"/>
  <c r="Z3" i="17"/>
  <c r="Z2" i="17"/>
  <c r="Z4" i="18"/>
  <c r="Z3" i="18"/>
  <c r="Z2" i="18"/>
  <c r="F3" i="22" s="1"/>
  <c r="Z4" i="16"/>
  <c r="Z2" i="16"/>
  <c r="Z3" i="16"/>
  <c r="E6" i="22"/>
  <c r="D6" i="22"/>
  <c r="F23" i="21"/>
  <c r="F22" i="21"/>
  <c r="H21" i="21"/>
  <c r="I21" i="21"/>
  <c r="J21" i="21"/>
  <c r="K21" i="21"/>
  <c r="L21" i="21"/>
  <c r="G21" i="21"/>
  <c r="G22" i="21"/>
  <c r="H23" i="21"/>
  <c r="G18" i="21"/>
  <c r="E5" i="22"/>
  <c r="H5" i="22" s="1"/>
  <c r="D5" i="22"/>
  <c r="G5" i="22" s="1"/>
  <c r="K16" i="21"/>
  <c r="F14" i="21"/>
  <c r="F15" i="21"/>
  <c r="F16" i="21"/>
  <c r="I16" i="21"/>
  <c r="G15" i="21"/>
  <c r="H14" i="21"/>
  <c r="P4" i="17"/>
  <c r="P3" i="17"/>
  <c r="P2" i="17"/>
  <c r="E3" i="22"/>
  <c r="I9" i="21"/>
  <c r="J9" i="21"/>
  <c r="K9" i="21"/>
  <c r="L9" i="21"/>
  <c r="J10" i="21"/>
  <c r="P3" i="18"/>
  <c r="G11" i="21" s="1"/>
  <c r="G9" i="21" s="1"/>
  <c r="P4" i="18"/>
  <c r="P2" i="18"/>
  <c r="G3" i="35" s="1"/>
  <c r="J4" i="21"/>
  <c r="K4" i="21"/>
  <c r="L4" i="21"/>
  <c r="H4" i="21"/>
  <c r="I4" i="21"/>
  <c r="I8" i="21"/>
  <c r="G5" i="21"/>
  <c r="P4" i="16"/>
  <c r="P3" i="16"/>
  <c r="P2" i="16"/>
  <c r="C7" i="22"/>
  <c r="F7" i="22" l="1"/>
  <c r="H3" i="22"/>
  <c r="H3" i="35"/>
  <c r="G7" i="35"/>
  <c r="H7" i="35" s="1"/>
  <c r="D3" i="22"/>
  <c r="G3" i="22" s="1"/>
  <c r="H10" i="21"/>
  <c r="E7" i="22"/>
  <c r="R4" i="23"/>
  <c r="G6" i="21"/>
  <c r="G4" i="21" s="1"/>
  <c r="L24" i="21"/>
  <c r="K24" i="21"/>
  <c r="F24" i="21" s="1"/>
  <c r="F21" i="21"/>
  <c r="L20" i="21"/>
  <c r="F20" i="21" s="1"/>
  <c r="F19" i="21"/>
  <c r="F18" i="21"/>
  <c r="L17" i="21"/>
  <c r="K17" i="21"/>
  <c r="J17" i="21"/>
  <c r="H17" i="21"/>
  <c r="G17" i="21"/>
  <c r="L13" i="21"/>
  <c r="K13" i="21"/>
  <c r="J13" i="21"/>
  <c r="I13" i="21"/>
  <c r="H13" i="21"/>
  <c r="L12" i="21"/>
  <c r="K12" i="21"/>
  <c r="F12" i="21" s="1"/>
  <c r="F11" i="21"/>
  <c r="L8" i="21"/>
  <c r="F8" i="21"/>
  <c r="F5" i="21"/>
  <c r="F10" i="21" l="1"/>
  <c r="F9" i="21" s="1"/>
  <c r="H9" i="21"/>
  <c r="H7" i="22"/>
  <c r="D7" i="22"/>
  <c r="G7" i="22" s="1"/>
  <c r="F6" i="21"/>
  <c r="F4" i="21" s="1"/>
  <c r="F17" i="21"/>
  <c r="F13" i="21"/>
  <c r="G13" i="21"/>
  <c r="F3" i="21" l="1"/>
  <c r="Q4" i="17" l="1"/>
  <c r="Q4" i="16" l="1"/>
</calcChain>
</file>

<file path=xl/comments1.xml><?xml version="1.0" encoding="utf-8"?>
<comments xmlns="http://schemas.openxmlformats.org/spreadsheetml/2006/main">
  <authors>
    <author>Oscarina Martins</author>
  </authors>
  <commentList>
    <comment ref="S2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taxa IVA 23%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taxa IVA 6%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taxa IVA 23%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Este procedimento tem uma parte de financiamento pelo PRR FSPC e outra pelo PRR GEPAC</t>
        </r>
      </text>
    </comment>
    <comment ref="E9" authorId="0" shapeId="0">
      <text>
        <r>
          <rPr>
            <sz val="9"/>
            <color indexed="81"/>
            <rFont val="Tahoma"/>
            <charset val="1"/>
          </rPr>
          <t>Este procedimento tem uma parte de financiamento pelo PRR FSPC e outra pelo PRR GEPAC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Executado em 2022: 49.692,81€
Para 2023: 32.473,33€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o compromisso foi feito apenas por 22.029,30€ que corresponde ao projeto a efetuar em 2022 - económica 020214; o restante é para assistência à obra que será em 2023 - económica 020220E00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o compromisso foi efetuado por 12287,70€</t>
        </r>
      </text>
    </comment>
  </commentList>
</comments>
</file>

<file path=xl/comments2.xml><?xml version="1.0" encoding="utf-8"?>
<comments xmlns="http://schemas.openxmlformats.org/spreadsheetml/2006/main">
  <authors>
    <author>Oscarina Martins</author>
  </authors>
  <commentList>
    <comment ref="D4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com reprogramação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com reprogramação</t>
        </r>
      </text>
    </comment>
  </commentList>
</comments>
</file>

<file path=xl/comments3.xml><?xml version="1.0" encoding="utf-8"?>
<comments xmlns="http://schemas.openxmlformats.org/spreadsheetml/2006/main">
  <authors>
    <author>Oscarina Martins</author>
  </authors>
  <commentList>
    <comment ref="Q2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taxa IVA 23%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taxa IVA 6%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taxa IVA 23%</t>
        </r>
      </text>
    </comment>
    <comment ref="C5" authorId="0" shapeId="0">
      <text>
        <r>
          <rPr>
            <b/>
            <sz val="9"/>
            <color indexed="81"/>
            <rFont val="Tahoma"/>
            <charset val="1"/>
          </rPr>
          <t>Oscarina Martins:</t>
        </r>
        <r>
          <rPr>
            <sz val="9"/>
            <color indexed="81"/>
            <rFont val="Tahoma"/>
            <charset val="1"/>
          </rPr>
          <t xml:space="preserve">
Este procedimento tem uma parte de financiamento pelo PRR FSPC e outra pelo PRR GEPAC</t>
        </r>
      </text>
    </comment>
  </commentList>
</comments>
</file>

<file path=xl/comments4.xml><?xml version="1.0" encoding="utf-8"?>
<comments xmlns="http://schemas.openxmlformats.org/spreadsheetml/2006/main">
  <authors>
    <author>Oscarina Martins</author>
  </authors>
  <commentList>
    <comment ref="C5" authorId="0" shapeId="0">
      <text>
        <r>
          <rPr>
            <sz val="9"/>
            <color indexed="81"/>
            <rFont val="Tahoma"/>
            <charset val="1"/>
          </rPr>
          <t>Este procedimento tem uma parte de financiamento pelo PRR FSPC e outra pelo PRR GEPAC</t>
        </r>
      </text>
    </comment>
  </commentList>
</comments>
</file>

<file path=xl/comments5.xml><?xml version="1.0" encoding="utf-8"?>
<comments xmlns="http://schemas.openxmlformats.org/spreadsheetml/2006/main">
  <authors>
    <author>Oscarina Martins</author>
  </authors>
  <commentList>
    <comment ref="Q2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o compromisso foi feito apenas por 22.029,30€ que corresponde ao projeto a efetuar em 2022 - económica 020214; o restante é para assistência à obra que será em 2023 - económica 020220E00</t>
        </r>
      </text>
    </comment>
  </commentList>
</comments>
</file>

<file path=xl/comments6.xml><?xml version="1.0" encoding="utf-8"?>
<comments xmlns="http://schemas.openxmlformats.org/spreadsheetml/2006/main">
  <authors>
    <author>Oscarina Martins</author>
  </authors>
  <commentList>
    <comment ref="Q2" authorId="0" shapeId="0">
      <text>
        <r>
          <rPr>
            <b/>
            <sz val="9"/>
            <color indexed="81"/>
            <rFont val="Tahoma"/>
            <family val="2"/>
          </rPr>
          <t>Oscarina Martins:</t>
        </r>
        <r>
          <rPr>
            <sz val="9"/>
            <color indexed="81"/>
            <rFont val="Tahoma"/>
            <family val="2"/>
          </rPr>
          <t xml:space="preserve">
o compromisso foi efetuado por 12287,70€</t>
        </r>
      </text>
    </comment>
  </commentList>
</comments>
</file>

<file path=xl/sharedStrings.xml><?xml version="1.0" encoding="utf-8"?>
<sst xmlns="http://schemas.openxmlformats.org/spreadsheetml/2006/main" count="751" uniqueCount="224">
  <si>
    <t>020214</t>
  </si>
  <si>
    <t>020220</t>
  </si>
  <si>
    <t>070305</t>
  </si>
  <si>
    <t>CE</t>
  </si>
  <si>
    <t>FF</t>
  </si>
  <si>
    <t>N.º de procedimento</t>
  </si>
  <si>
    <t>Técnico</t>
  </si>
  <si>
    <t>Assunto</t>
  </si>
  <si>
    <t>Tipo de procedimento</t>
  </si>
  <si>
    <t>Justificação legal</t>
  </si>
  <si>
    <t>CPV</t>
  </si>
  <si>
    <t>Entidade</t>
  </si>
  <si>
    <t>Cabimentação</t>
  </si>
  <si>
    <t>Data Cabimento</t>
  </si>
  <si>
    <t>Convite</t>
  </si>
  <si>
    <t>Data Compromisso</t>
  </si>
  <si>
    <t>Valor (c/IVA)</t>
  </si>
  <si>
    <t>N.º Contrato</t>
  </si>
  <si>
    <t>Data Contrato</t>
  </si>
  <si>
    <t>N.º Registo Portal Base</t>
  </si>
  <si>
    <t>Data Registo Portal Base</t>
  </si>
  <si>
    <t>Observações</t>
  </si>
  <si>
    <t>Proc. n.º 124 / DRCN / 2022</t>
  </si>
  <si>
    <t>Agostinho Costa</t>
  </si>
  <si>
    <t>Ajuste Direto</t>
  </si>
  <si>
    <t>A2R - Project &amp; Services</t>
  </si>
  <si>
    <t>BE52200406</t>
  </si>
  <si>
    <t>BE42200337</t>
  </si>
  <si>
    <t>Proc. n.º 162 / DRCN / 2022</t>
  </si>
  <si>
    <t>71240000-2-Serviços de arquitetura, engenharia e planeamento</t>
  </si>
  <si>
    <t>BE42200343</t>
  </si>
  <si>
    <t>BE52200328</t>
  </si>
  <si>
    <t>Proc. n.º 100 / DRCN / 2022</t>
  </si>
  <si>
    <t>Artur Alves</t>
  </si>
  <si>
    <t>Pedido de abertura de procedimento por ajuste direto simplificado. Levantamento geométrico vetorial parcial da ConCatedral de Miranda do Douro</t>
  </si>
  <si>
    <t>Proc. n.º 139 / DRCN / 2022</t>
  </si>
  <si>
    <t>Metamorphic Planet-Geomática</t>
  </si>
  <si>
    <t>António Santos Lessa &amp; Associados</t>
  </si>
  <si>
    <t>BE42200367</t>
  </si>
  <si>
    <t>BE42200338</t>
  </si>
  <si>
    <r>
      <t>Pedido de abertura de procedimento e adjudicação por ajuste direto simplificado - Projeto de Iluminação parcial da ConCatedral de Miranda do Douro.</t>
    </r>
    <r>
      <rPr>
        <b/>
        <sz val="8"/>
        <color indexed="57"/>
        <rFont val="Trebuchet MS"/>
        <family val="2"/>
      </rPr>
      <t>DRCN-DSBC-DO/2022/04-06/53 com cs 124493.</t>
    </r>
  </si>
  <si>
    <t>Ajuste Direto Simplificado</t>
  </si>
  <si>
    <t>BE52200426</t>
  </si>
  <si>
    <t>BE52200325</t>
  </si>
  <si>
    <t>Proc. n.º 122 / DRCN / 2022</t>
  </si>
  <si>
    <t>TECMINHO - UNIVERSIDADE DO MINHO</t>
  </si>
  <si>
    <t>71240000-2 Serviços de arquitetura, engenharia e planeamento</t>
  </si>
  <si>
    <t>BE52200394</t>
  </si>
  <si>
    <t>BE42200339</t>
  </si>
  <si>
    <t>artigo 20º nº1 al. d)</t>
  </si>
  <si>
    <t>Aj Simpl. Art128.º 19.º d) &lt;10.000€</t>
  </si>
  <si>
    <r>
      <t xml:space="preserve">Pedido de </t>
    </r>
    <r>
      <rPr>
        <sz val="8"/>
        <color indexed="8"/>
        <rFont val="Arial"/>
        <family val="2"/>
      </rPr>
      <t>abertura e adjudicação de procedimento por ajuste direto simplificado</t>
    </r>
    <r>
      <rPr>
        <sz val="8"/>
        <color indexed="8"/>
        <rFont val="Trebuchet MS"/>
        <family val="2"/>
      </rPr>
      <t xml:space="preserve"> do Projeto de Eletricidade, Telecomunicações e Segurança Ativa –</t>
    </r>
    <r>
      <rPr>
        <sz val="8"/>
        <color indexed="8"/>
        <rFont val="Trebuchet MS"/>
        <family val="2"/>
      </rPr>
      <t xml:space="preserve"> igreja de São Miguel do</t>
    </r>
    <r>
      <rPr>
        <sz val="8"/>
        <color indexed="8"/>
        <rFont val="Trebuchet MS"/>
        <family val="2"/>
      </rPr>
      <t xml:space="preserve"> </t>
    </r>
    <r>
      <rPr>
        <sz val="8"/>
        <color indexed="8"/>
        <rFont val="Trebuchet MS"/>
        <family val="2"/>
      </rPr>
      <t>Castelo de Guimarães”</t>
    </r>
    <r>
      <rPr>
        <sz val="8"/>
        <color indexed="40"/>
        <rFont val="Trebuchet MS"/>
        <family val="2"/>
      </rPr>
      <t/>
    </r>
  </si>
  <si>
    <t>Art128.º 20.º d) &lt;5.000€</t>
  </si>
  <si>
    <t>71300000-1 Serviços de engenharia</t>
  </si>
  <si>
    <t>Proc. n.º 152 / DRCN / 2022</t>
  </si>
  <si>
    <t>BE42200318</t>
  </si>
  <si>
    <t>Proc. n.º 146 / DRCN / 2022</t>
  </si>
  <si>
    <t>Isabel Sereno</t>
  </si>
  <si>
    <r>
      <t xml:space="preserve"> Museu Alberto Sampaio, Guimarães- Projeto geral de reabilitação do claustro- Pedido de abertura de procedimento por ajuste direto geral-</t>
    </r>
    <r>
      <rPr>
        <b/>
        <sz val="8"/>
        <color indexed="57"/>
        <rFont val="Trebuchet MS"/>
        <family val="2"/>
      </rPr>
      <t>DRCN-DSBC-DO/2022/18-20/56 com cs 124526</t>
    </r>
  </si>
  <si>
    <t>Proc. n.º 182 / DRCN / 2022</t>
  </si>
  <si>
    <t>Fornecimento e execução de protótipo de passadiço do Adarve do Castelo de Guimarães - Pedido de abertura e adjudicação por ajuste direto simplificado</t>
  </si>
  <si>
    <t>45223110-0 Instalação de estruturas metálicas</t>
  </si>
  <si>
    <t>Cordeiro &amp; Catarino, Lda</t>
  </si>
  <si>
    <t>BE42200481</t>
  </si>
  <si>
    <t>BE52200469</t>
  </si>
  <si>
    <t>BE52200484</t>
  </si>
  <si>
    <t>BE42200504</t>
  </si>
  <si>
    <t>Consulta Prévia</t>
  </si>
  <si>
    <t>artigo 20º nº1 al. c)</t>
  </si>
  <si>
    <t xml:space="preserve">Síncrono - Soluções Integradas </t>
  </si>
  <si>
    <t>n.a.</t>
  </si>
  <si>
    <t>N.º da informação Adjudicação (C.S.)</t>
  </si>
  <si>
    <t>Proc. n.º 191 / DRCN / 2022</t>
  </si>
  <si>
    <t>Aquisição de serviços do Projeto de Arquitetura da Box de receção/acolhimento do Castelo de Guimarães - Pedido de abertura de procedimento por ajuste direto</t>
  </si>
  <si>
    <t>José Miguel de Oliveira Ferreira de Melo</t>
  </si>
  <si>
    <t>BE42200476</t>
  </si>
  <si>
    <t>enviada notificação de adjudicação em 23/06/2022</t>
  </si>
  <si>
    <t>enviada notificação de adjudicação em 13/04/2022</t>
  </si>
  <si>
    <t>enviada notificação de adjudicação em 06/05/2022</t>
  </si>
  <si>
    <t>71355100-2 Serviços de fotogrametria</t>
  </si>
  <si>
    <t>BE52200527</t>
  </si>
  <si>
    <t>BE52200554</t>
  </si>
  <si>
    <t>71000000-8-Serviços de arquitetura, construção, engenharia e inspeção</t>
  </si>
  <si>
    <t>120 dias</t>
  </si>
  <si>
    <t>Prazo execução</t>
  </si>
  <si>
    <t>enviada notificação de adjudicação em 15/07/2022</t>
  </si>
  <si>
    <t>Proc. n.º 233 / DRCN / 2022</t>
  </si>
  <si>
    <r>
      <t xml:space="preserve">Pedido de </t>
    </r>
    <r>
      <rPr>
        <sz val="8"/>
        <color indexed="8"/>
        <rFont val="Arial"/>
        <family val="2"/>
      </rPr>
      <t>abertura de procedimento de ajuste direto - Intervenção Arqueológica</t>
    </r>
    <r>
      <rPr>
        <sz val="8"/>
        <color indexed="8"/>
        <rFont val="Trebuchet MS"/>
        <family val="2"/>
      </rPr>
      <t>– igreja de São Miguel do Castelo de Guimarães</t>
    </r>
    <r>
      <rPr>
        <sz val="8"/>
        <color indexed="40"/>
        <rFont val="Trebuchet MS"/>
        <family val="2"/>
      </rPr>
      <t/>
    </r>
  </si>
  <si>
    <t xml:space="preserve">Ajuste Direto </t>
  </si>
  <si>
    <t>71351914-3 - Serviços arqueológicos</t>
  </si>
  <si>
    <t>BE42200569</t>
  </si>
  <si>
    <t>Arqueoges, Unipessoal Lda</t>
  </si>
  <si>
    <t>Paulo Amaral</t>
  </si>
  <si>
    <t>90 dias</t>
  </si>
  <si>
    <t>45 dias</t>
  </si>
  <si>
    <t>30 dias</t>
  </si>
  <si>
    <t>60 dias</t>
  </si>
  <si>
    <t>Paulo Providência Arquitetos, Ldª</t>
  </si>
  <si>
    <t>100 dias</t>
  </si>
  <si>
    <t xml:space="preserve"> dias</t>
  </si>
  <si>
    <t xml:space="preserve"> 30 dias</t>
  </si>
  <si>
    <t>Proc. n.º 230 / DRCN / 2022</t>
  </si>
  <si>
    <t>Carla Cruz</t>
  </si>
  <si>
    <t>Proc. 230/2022 - Igreja de São Miguel do Castelo - Empreitada de Reabilitação do Edifício e Proteção das Pedras Tumulares</t>
  </si>
  <si>
    <t>Domínio do Ligante-Argamassas</t>
  </si>
  <si>
    <t>BE52200756</t>
  </si>
  <si>
    <t>45453000-7-Obras de revisão e recuperação</t>
  </si>
  <si>
    <t>BE42200657</t>
  </si>
  <si>
    <t>BE52200952</t>
  </si>
  <si>
    <t>Proc. n.º 394 / DRCN / 2022</t>
  </si>
  <si>
    <t>Aquisição de serviços apoio de desenho ao Projeto de requalificação da Concatedral,</t>
  </si>
  <si>
    <t>BE52200918</t>
  </si>
  <si>
    <t>BE42200946</t>
  </si>
  <si>
    <t>71210000-3 Serviços de acessoria em matéria de arquitetura</t>
  </si>
  <si>
    <t>Filipa Rocha Arquitetura Unipessoal Lda</t>
  </si>
  <si>
    <t>enviada notificação de adjudicação em 24/10/2022</t>
  </si>
  <si>
    <t>15 dias</t>
  </si>
  <si>
    <t>Projecto de Electricidade, Telecomunicações e Segurança Activa –  Box de receção/acolhimento, Adarve e Torreões”, no âmbito da empreitada de reabilitação e requalificação das acessibilidades do Castelo de Guimarães</t>
  </si>
  <si>
    <t>Levantamento e diagnóstico das chaminés e coberturas do Paço dos Duques</t>
  </si>
  <si>
    <r>
      <rPr>
        <sz val="8"/>
        <rFont val="Trebuchet MS"/>
        <family val="2"/>
      </rPr>
      <t>Projeto de Eletricidade</t>
    </r>
    <r>
      <rPr>
        <sz val="9"/>
        <rFont val="Trebuchet MS"/>
        <family val="2"/>
      </rPr>
      <t xml:space="preserve">, </t>
    </r>
    <r>
      <rPr>
        <sz val="8"/>
        <rFont val="Trebuchet MS"/>
        <family val="2"/>
      </rPr>
      <t>Telecomunicações e Segurança Ativa – 
Paço dos Duques de Bragança, Guimarães, no âmbito do investimento do Plano de Recuperação e Resiliência.</t>
    </r>
    <r>
      <rPr>
        <b/>
        <sz val="8"/>
        <color indexed="57"/>
        <rFont val="Trebuchet MS"/>
        <family val="2"/>
      </rPr>
      <t xml:space="preserve">
</t>
    </r>
  </si>
  <si>
    <t>Intervenções Prioritárias em Bens Culturais Imóveis Classificados a incluir no PRR   (ações geridas diretamente pela DRCNorte)</t>
  </si>
  <si>
    <t>Nº Projeto</t>
  </si>
  <si>
    <t>2.1 - Palácios, Museus e Monumentos</t>
  </si>
  <si>
    <t>Intervenção</t>
  </si>
  <si>
    <t>Estimativa do investimento total  s/IVA</t>
  </si>
  <si>
    <t>Projetos</t>
  </si>
  <si>
    <t>Aquisições de serviços</t>
  </si>
  <si>
    <t>Obras</t>
  </si>
  <si>
    <t>Serviços</t>
  </si>
  <si>
    <t>Castelo de Guimarães</t>
  </si>
  <si>
    <t>Total</t>
  </si>
  <si>
    <t>Projeto da cabine de bilhética</t>
  </si>
  <si>
    <t>Projeto de eletricidade</t>
  </si>
  <si>
    <t>trab especializados</t>
  </si>
  <si>
    <t>Obra</t>
  </si>
  <si>
    <t>Concatedral de Miranda do Douro</t>
  </si>
  <si>
    <t>Levantamento da torres</t>
  </si>
  <si>
    <t>Igreja de São Miguel</t>
  </si>
  <si>
    <t>Trabalhos especializados</t>
  </si>
  <si>
    <t>Museu de Alberto Sampaio</t>
  </si>
  <si>
    <t xml:space="preserve">Total </t>
  </si>
  <si>
    <t>Projeto de arquitectura e eletricidade</t>
  </si>
  <si>
    <t>Assistencia técnica</t>
  </si>
  <si>
    <t>Paço dos Duques de Bragança</t>
  </si>
  <si>
    <t>Trabalhos especializados (Levantamento das coberturas)</t>
  </si>
  <si>
    <t>070306</t>
  </si>
  <si>
    <t>Designação</t>
  </si>
  <si>
    <t>N.º Projeto</t>
  </si>
  <si>
    <t>Valor contratação (s/IVA)</t>
  </si>
  <si>
    <t>Valor contratação (c/IVA)</t>
  </si>
  <si>
    <t>Valor (s/IVA)</t>
  </si>
  <si>
    <t>Valor pago em 2022</t>
  </si>
  <si>
    <t>Pagamentos 2022</t>
  </si>
  <si>
    <t>Execução financeira                Valor Pago/Valor contratação</t>
  </si>
  <si>
    <t>N.º da informação abertura (C.S.)</t>
  </si>
  <si>
    <t>Data da informação abertura</t>
  </si>
  <si>
    <t>Adjudicação (compromisso)</t>
  </si>
  <si>
    <t>Rótulos de Linha</t>
  </si>
  <si>
    <t>Total Geral</t>
  </si>
  <si>
    <t>Projeto</t>
  </si>
  <si>
    <t>12877 - Castelo de Guimarães</t>
  </si>
  <si>
    <t>12894 - Concatedral Miranda do Douro</t>
  </si>
  <si>
    <t>12896 - Igreja São Miguel</t>
  </si>
  <si>
    <t>12897 - Museu Alberto Sampaio</t>
  </si>
  <si>
    <t>12898 - Paço dos Duques</t>
  </si>
  <si>
    <t>Soma de Valor (c/IVA)</t>
  </si>
  <si>
    <t>Soma de Pagamentos 2022</t>
  </si>
  <si>
    <t>020214 - Projetos</t>
  </si>
  <si>
    <t>020220 - Trabalhos Especializados</t>
  </si>
  <si>
    <t>070305 - Obra</t>
  </si>
  <si>
    <t>Contagem de Tipo de procedimento</t>
  </si>
  <si>
    <t>N.º Procedimentos</t>
  </si>
  <si>
    <t>Valor Contratação</t>
  </si>
  <si>
    <t>Soma de Valor (s/IVA)</t>
  </si>
  <si>
    <t>Grau Execução Financeira</t>
  </si>
  <si>
    <t>Pagamentos</t>
  </si>
  <si>
    <t>Valor contrato FSPC</t>
  </si>
  <si>
    <t>Execução                                               Valor contratação/Valor contrato FSPC</t>
  </si>
  <si>
    <t>Valor Contrato FSG</t>
  </si>
  <si>
    <t>Soma de Valor Contrato FSG</t>
  </si>
  <si>
    <t>PRR Fundo de Salvaguarda do Património Cultural</t>
  </si>
  <si>
    <t>Grau Execução Contrato FSPC</t>
  </si>
  <si>
    <t>Valor previsto contrato ano 2022</t>
  </si>
  <si>
    <t>Valor previsto contrato ano 2023</t>
  </si>
  <si>
    <t>Valor previsto contrato ano 2024</t>
  </si>
  <si>
    <t>Valor contratação (s/IVA) ano 2022</t>
  </si>
  <si>
    <t>Valor sobrante ano 2022</t>
  </si>
  <si>
    <t>enviada notificação de adjudicação em 19/05/2022</t>
  </si>
  <si>
    <t>enviada notificação de adjudicação em 16/05/2022</t>
  </si>
  <si>
    <t xml:space="preserve"> 45 dias</t>
  </si>
  <si>
    <t>Proc. n.º 90 / DRCN / 2023</t>
  </si>
  <si>
    <t>Proc. 90/2023 - Igreja de São Miguel do Castelo - Empreitada de desmontagem e remontagem do altar de pedra</t>
  </si>
  <si>
    <t>artigo 19º al. c)</t>
  </si>
  <si>
    <t>Aj Simpl. 19.º d) e Art128.º &lt;10.000€</t>
  </si>
  <si>
    <t>Art 20.º d) e 128.º &lt;5.000€</t>
  </si>
  <si>
    <t>BE42300220</t>
  </si>
  <si>
    <t>BE52300206</t>
  </si>
  <si>
    <t>enviada notificação de adjudicação em 09/03/2023</t>
  </si>
  <si>
    <t>483 e 484</t>
  </si>
  <si>
    <t>20 dias</t>
  </si>
  <si>
    <t>Proc. n.º 298 / DRCN / 2022</t>
  </si>
  <si>
    <t>Reestruturação e melhoramento das acessibilidades, da segurança e instalação de infraestrutura para a futura rede Wifi - 1.ª fase</t>
  </si>
  <si>
    <t>Concurso Público</t>
  </si>
  <si>
    <t>artigo 19º al. b)</t>
  </si>
  <si>
    <t>45454000-4 Obras de reestruturação</t>
  </si>
  <si>
    <t>BE42300154</t>
  </si>
  <si>
    <t>a decorrer</t>
  </si>
  <si>
    <t>Proc. n.º 27 / DRCN / 2023</t>
  </si>
  <si>
    <t>Empreitada Reabilitação, Requalificação e Instalação de Infraestruturas para futura rede WiFi</t>
  </si>
  <si>
    <t>BE42300259</t>
  </si>
  <si>
    <t>Valor contratação (s/IVA) ano 2023</t>
  </si>
  <si>
    <t>Valor sobrante ano 2023</t>
  </si>
  <si>
    <t>AOF - Augusto de Oliveira Ferreira, Lda</t>
  </si>
  <si>
    <t>1667197 - Lote 1, 1667379 - Lote 2</t>
  </si>
  <si>
    <t>BE52300390 - Lote 1, BE52300416 - Lote 2</t>
  </si>
  <si>
    <t>15/05/2023 e 22/05/2023</t>
  </si>
  <si>
    <t>14 - Lote 1, 15 - Lote 2</t>
  </si>
  <si>
    <t>180 dias para o Lote 1 e 120 dias para o Lote 2</t>
  </si>
  <si>
    <t>esta contratação tem uma parte que corresponde ao FSPC e outra que corresponde ao GEPAC</t>
  </si>
  <si>
    <t>Proc. 230/2022 - Igreja de São Miguel do Castelo - Empreitada de Reabilitação do Edifício e Proteção das Pedras Tumulares - TRABALHOS COMPLEMENTARES</t>
  </si>
  <si>
    <t>BE42300498</t>
  </si>
  <si>
    <t>BE52300489</t>
  </si>
  <si>
    <t>Adenda ao contrato 42</t>
  </si>
  <si>
    <t>10088134 e 10088171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</si>
</sst>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8"/>
      <name val="Arial"/>
      <family val="2"/>
    </font>
    <font>
      <b/>
      <sz val="11"/>
      <color indexed="8"/>
      <name val="Trebuchet MS"/>
      <family val="2"/>
    </font>
    <font>
      <sz val="8"/>
      <color indexed="8"/>
      <name val="Trebuchet MS"/>
      <family val="2"/>
    </font>
    <font>
      <sz val="8"/>
      <color rgb="FF000000"/>
      <name val="Trebuchet MS"/>
      <family val="2"/>
    </font>
    <font>
      <b/>
      <sz val="8"/>
      <color indexed="57"/>
      <name val="Trebuchet MS"/>
      <family val="2"/>
    </font>
    <font>
      <sz val="8"/>
      <color indexed="8"/>
      <name val="Arial"/>
      <family val="2"/>
    </font>
    <font>
      <sz val="8"/>
      <color indexed="4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rebuchet MS"/>
      <family val="2"/>
    </font>
    <font>
      <sz val="9"/>
      <name val="Trebuchet MS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</borders>
  <cellStyleXfs count="90">
    <xf numFmtId="0" fontId="0" fillId="0" borderId="0"/>
    <xf numFmtId="0" fontId="1" fillId="0" borderId="0"/>
    <xf numFmtId="0" fontId="2" fillId="0" borderId="0"/>
    <xf numFmtId="4" fontId="13" fillId="0" borderId="9" applyNumberFormat="0" applyProtection="0">
      <alignment horizontal="right" vertical="center"/>
    </xf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8" borderId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4" borderId="0" applyNumberFormat="0" applyBorder="0" applyAlignment="0" applyProtection="0"/>
    <xf numFmtId="0" fontId="25" fillId="22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12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6" fillId="26" borderId="0" applyNumberFormat="0" applyBorder="0" applyAlignment="0" applyProtection="0"/>
    <xf numFmtId="0" fontId="27" fillId="29" borderId="9" applyNumberFormat="0" applyAlignment="0" applyProtection="0"/>
    <xf numFmtId="0" fontId="28" fillId="21" borderId="50" applyNumberFormat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5" fillId="19" borderId="0" applyNumberFormat="0" applyBorder="0" applyAlignment="0" applyProtection="0"/>
    <xf numFmtId="0" fontId="30" fillId="0" borderId="51" applyNumberFormat="0" applyFill="0" applyAlignment="0" applyProtection="0"/>
    <xf numFmtId="0" fontId="31" fillId="0" borderId="52" applyNumberFormat="0" applyFill="0" applyAlignment="0" applyProtection="0"/>
    <xf numFmtId="0" fontId="32" fillId="0" borderId="53" applyNumberFormat="0" applyFill="0" applyAlignment="0" applyProtection="0"/>
    <xf numFmtId="0" fontId="32" fillId="0" borderId="0" applyNumberFormat="0" applyFill="0" applyBorder="0" applyAlignment="0" applyProtection="0"/>
    <xf numFmtId="0" fontId="33" fillId="27" borderId="9" applyNumberFormat="0" applyAlignment="0" applyProtection="0"/>
    <xf numFmtId="0" fontId="34" fillId="0" borderId="54" applyNumberFormat="0" applyFill="0" applyAlignment="0" applyProtection="0"/>
    <xf numFmtId="0" fontId="34" fillId="27" borderId="0" applyNumberFormat="0" applyBorder="0" applyAlignment="0" applyProtection="0"/>
    <xf numFmtId="0" fontId="13" fillId="26" borderId="9" applyNumberFormat="0" applyFont="0" applyAlignment="0" applyProtection="0"/>
    <xf numFmtId="0" fontId="35" fillId="29" borderId="55" applyNumberFormat="0" applyAlignment="0" applyProtection="0"/>
    <xf numFmtId="4" fontId="13" fillId="33" borderId="9" applyNumberFormat="0" applyProtection="0">
      <alignment vertical="center"/>
    </xf>
    <xf numFmtId="4" fontId="38" fillId="34" borderId="9" applyNumberFormat="0" applyProtection="0">
      <alignment vertical="center"/>
    </xf>
    <xf numFmtId="4" fontId="13" fillId="34" borderId="9" applyNumberFormat="0" applyProtection="0">
      <alignment horizontal="left" vertical="center" indent="1"/>
    </xf>
    <xf numFmtId="0" fontId="21" fillId="33" borderId="56" applyNumberFormat="0" applyProtection="0">
      <alignment horizontal="left" vertical="top" indent="1"/>
    </xf>
    <xf numFmtId="4" fontId="13" fillId="35" borderId="9" applyNumberFormat="0" applyProtection="0">
      <alignment horizontal="left" vertical="center" indent="1"/>
    </xf>
    <xf numFmtId="4" fontId="13" fillId="36" borderId="9" applyNumberFormat="0" applyProtection="0">
      <alignment horizontal="right" vertical="center"/>
    </xf>
    <xf numFmtId="4" fontId="13" fillId="37" borderId="9" applyNumberFormat="0" applyProtection="0">
      <alignment horizontal="right" vertical="center"/>
    </xf>
    <xf numFmtId="4" fontId="13" fillId="38" borderId="57" applyNumberFormat="0" applyProtection="0">
      <alignment horizontal="right" vertical="center"/>
    </xf>
    <xf numFmtId="4" fontId="13" fillId="39" borderId="9" applyNumberFormat="0" applyProtection="0">
      <alignment horizontal="right" vertical="center"/>
    </xf>
    <xf numFmtId="4" fontId="13" fillId="40" borderId="9" applyNumberFormat="0" applyProtection="0">
      <alignment horizontal="right" vertical="center"/>
    </xf>
    <xf numFmtId="4" fontId="13" fillId="41" borderId="9" applyNumberFormat="0" applyProtection="0">
      <alignment horizontal="right" vertical="center"/>
    </xf>
    <xf numFmtId="4" fontId="13" fillId="42" borderId="9" applyNumberFormat="0" applyProtection="0">
      <alignment horizontal="right" vertical="center"/>
    </xf>
    <xf numFmtId="4" fontId="13" fillId="43" borderId="9" applyNumberFormat="0" applyProtection="0">
      <alignment horizontal="right" vertical="center"/>
    </xf>
    <xf numFmtId="4" fontId="13" fillId="44" borderId="9" applyNumberFormat="0" applyProtection="0">
      <alignment horizontal="right" vertical="center"/>
    </xf>
    <xf numFmtId="4" fontId="13" fillId="45" borderId="57" applyNumberFormat="0" applyProtection="0">
      <alignment horizontal="left" vertical="center" indent="1"/>
    </xf>
    <xf numFmtId="4" fontId="20" fillId="46" borderId="57" applyNumberFormat="0" applyProtection="0">
      <alignment horizontal="left" vertical="center" indent="1"/>
    </xf>
    <xf numFmtId="4" fontId="20" fillId="46" borderId="57" applyNumberFormat="0" applyProtection="0">
      <alignment horizontal="left" vertical="center" indent="1"/>
    </xf>
    <xf numFmtId="4" fontId="13" fillId="47" borderId="9" applyNumberFormat="0" applyProtection="0">
      <alignment horizontal="right" vertical="center"/>
    </xf>
    <xf numFmtId="4" fontId="13" fillId="48" borderId="57" applyNumberFormat="0" applyProtection="0">
      <alignment horizontal="left" vertical="center" indent="1"/>
    </xf>
    <xf numFmtId="4" fontId="13" fillId="47" borderId="57" applyNumberFormat="0" applyProtection="0">
      <alignment horizontal="left" vertical="center" indent="1"/>
    </xf>
    <xf numFmtId="0" fontId="13" fillId="49" borderId="9" applyNumberFormat="0" applyProtection="0">
      <alignment horizontal="left" vertical="center" indent="1"/>
    </xf>
    <xf numFmtId="0" fontId="13" fillId="46" borderId="56" applyNumberFormat="0" applyProtection="0">
      <alignment horizontal="left" vertical="top" indent="1"/>
    </xf>
    <xf numFmtId="0" fontId="13" fillId="50" borderId="9" applyNumberFormat="0" applyProtection="0">
      <alignment horizontal="left" vertical="center" indent="1"/>
    </xf>
    <xf numFmtId="0" fontId="13" fillId="47" borderId="56" applyNumberFormat="0" applyProtection="0">
      <alignment horizontal="left" vertical="top" indent="1"/>
    </xf>
    <xf numFmtId="0" fontId="13" fillId="51" borderId="9" applyNumberFormat="0" applyProtection="0">
      <alignment horizontal="left" vertical="center" indent="1"/>
    </xf>
    <xf numFmtId="0" fontId="13" fillId="51" borderId="56" applyNumberFormat="0" applyProtection="0">
      <alignment horizontal="left" vertical="top" indent="1"/>
    </xf>
    <xf numFmtId="0" fontId="13" fillId="48" borderId="9" applyNumberFormat="0" applyProtection="0">
      <alignment horizontal="left" vertical="center" indent="1"/>
    </xf>
    <xf numFmtId="0" fontId="13" fillId="48" borderId="56" applyNumberFormat="0" applyProtection="0">
      <alignment horizontal="left" vertical="top" indent="1"/>
    </xf>
    <xf numFmtId="0" fontId="13" fillId="52" borderId="58" applyNumberFormat="0">
      <protection locked="0"/>
    </xf>
    <xf numFmtId="0" fontId="19" fillId="46" borderId="59" applyBorder="0"/>
    <xf numFmtId="4" fontId="7" fillId="53" borderId="56" applyNumberFormat="0" applyProtection="0">
      <alignment vertical="center"/>
    </xf>
    <xf numFmtId="4" fontId="38" fillId="54" borderId="15" applyNumberFormat="0" applyProtection="0">
      <alignment vertical="center"/>
    </xf>
    <xf numFmtId="4" fontId="7" fillId="49" borderId="56" applyNumberFormat="0" applyProtection="0">
      <alignment horizontal="left" vertical="center" indent="1"/>
    </xf>
    <xf numFmtId="0" fontId="7" fillId="53" borderId="56" applyNumberFormat="0" applyProtection="0">
      <alignment horizontal="left" vertical="top" indent="1"/>
    </xf>
    <xf numFmtId="4" fontId="38" fillId="55" borderId="9" applyNumberFormat="0" applyProtection="0">
      <alignment horizontal="right" vertical="center"/>
    </xf>
    <xf numFmtId="4" fontId="13" fillId="35" borderId="9" applyNumberFormat="0" applyProtection="0">
      <alignment horizontal="left" vertical="center" indent="1"/>
    </xf>
    <xf numFmtId="0" fontId="7" fillId="47" borderId="56" applyNumberFormat="0" applyProtection="0">
      <alignment horizontal="left" vertical="top" indent="1"/>
    </xf>
    <xf numFmtId="4" fontId="22" fillId="56" borderId="57" applyNumberFormat="0" applyProtection="0">
      <alignment horizontal="left" vertical="center" indent="1"/>
    </xf>
    <xf numFmtId="0" fontId="13" fillId="57" borderId="15"/>
    <xf numFmtId="4" fontId="23" fillId="52" borderId="9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29" fillId="0" borderId="60" applyNumberFormat="0" applyFill="0" applyAlignment="0" applyProtection="0"/>
    <xf numFmtId="0" fontId="37" fillId="0" borderId="0" applyNumberFormat="0" applyFill="0" applyBorder="0" applyAlignment="0" applyProtection="0"/>
  </cellStyleXfs>
  <cellXfs count="168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164" fontId="18" fillId="5" borderId="14" xfId="0" applyNumberFormat="1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5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center" vertical="center"/>
    </xf>
    <xf numFmtId="164" fontId="15" fillId="6" borderId="28" xfId="0" applyNumberFormat="1" applyFont="1" applyFill="1" applyBorder="1" applyAlignment="1">
      <alignment horizontal="center" vertical="center"/>
    </xf>
    <xf numFmtId="164" fontId="15" fillId="6" borderId="28" xfId="0" applyNumberFormat="1" applyFont="1" applyFill="1" applyBorder="1" applyAlignment="1">
      <alignment vertical="center"/>
    </xf>
    <xf numFmtId="164" fontId="15" fillId="6" borderId="29" xfId="0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15" fillId="7" borderId="31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18" xfId="0" quotePrefix="1" applyFont="1" applyFill="1" applyBorder="1" applyAlignment="1">
      <alignment horizontal="center" vertical="center"/>
    </xf>
    <xf numFmtId="164" fontId="0" fillId="7" borderId="15" xfId="0" applyNumberFormat="1" applyFill="1" applyBorder="1" applyAlignment="1">
      <alignment horizontal="center" vertical="center"/>
    </xf>
    <xf numFmtId="164" fontId="0" fillId="7" borderId="15" xfId="0" applyNumberFormat="1" applyFill="1" applyBorder="1" applyAlignment="1">
      <alignment vertical="center"/>
    </xf>
    <xf numFmtId="164" fontId="0" fillId="7" borderId="18" xfId="0" applyNumberFormat="1" applyFill="1" applyBorder="1" applyAlignment="1">
      <alignment vertical="center"/>
    </xf>
    <xf numFmtId="164" fontId="0" fillId="7" borderId="17" xfId="0" applyNumberFormat="1" applyFill="1" applyBorder="1" applyAlignment="1">
      <alignment vertical="center"/>
    </xf>
    <xf numFmtId="164" fontId="0" fillId="7" borderId="19" xfId="0" applyNumberFormat="1" applyFill="1" applyBorder="1" applyAlignment="1">
      <alignment vertical="center"/>
    </xf>
    <xf numFmtId="0" fontId="15" fillId="7" borderId="13" xfId="0" applyFont="1" applyFill="1" applyBorder="1" applyAlignment="1">
      <alignment horizontal="left" vertical="center"/>
    </xf>
    <xf numFmtId="0" fontId="15" fillId="7" borderId="23" xfId="0" applyFon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vertical="center"/>
    </xf>
    <xf numFmtId="164" fontId="0" fillId="7" borderId="23" xfId="0" applyNumberFormat="1" applyFill="1" applyBorder="1" applyAlignment="1">
      <alignment vertical="center"/>
    </xf>
    <xf numFmtId="0" fontId="15" fillId="7" borderId="23" xfId="0" quotePrefix="1" applyFon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7" borderId="32" xfId="0" applyNumberFormat="1" applyFill="1" applyBorder="1" applyAlignment="1">
      <alignment vertical="center"/>
    </xf>
    <xf numFmtId="164" fontId="0" fillId="7" borderId="33" xfId="0" applyNumberFormat="1" applyFill="1" applyBorder="1" applyAlignment="1">
      <alignment vertical="center"/>
    </xf>
    <xf numFmtId="0" fontId="15" fillId="7" borderId="34" xfId="0" applyFont="1" applyFill="1" applyBorder="1" applyAlignment="1">
      <alignment horizontal="left" vertical="center"/>
    </xf>
    <xf numFmtId="0" fontId="15" fillId="7" borderId="35" xfId="0" applyFont="1" applyFill="1" applyBorder="1" applyAlignment="1">
      <alignment horizontal="center" vertical="center"/>
    </xf>
    <xf numFmtId="164" fontId="0" fillId="7" borderId="36" xfId="0" applyNumberFormat="1" applyFont="1" applyFill="1" applyBorder="1" applyAlignment="1">
      <alignment vertical="center"/>
    </xf>
    <xf numFmtId="164" fontId="0" fillId="7" borderId="37" xfId="0" applyNumberFormat="1" applyFont="1" applyFill="1" applyBorder="1" applyAlignment="1">
      <alignment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15" fillId="7" borderId="35" xfId="0" quotePrefix="1" applyFont="1" applyFill="1" applyBorder="1" applyAlignment="1">
      <alignment horizontal="center" vertical="center"/>
    </xf>
    <xf numFmtId="164" fontId="0" fillId="7" borderId="36" xfId="0" applyNumberFormat="1" applyFill="1" applyBorder="1" applyAlignment="1">
      <alignment horizontal="center" vertical="center"/>
    </xf>
    <xf numFmtId="164" fontId="0" fillId="7" borderId="36" xfId="0" applyNumberFormat="1" applyFill="1" applyBorder="1" applyAlignment="1">
      <alignment vertical="center"/>
    </xf>
    <xf numFmtId="164" fontId="0" fillId="7" borderId="37" xfId="0" applyNumberFormat="1" applyFill="1" applyBorder="1" applyAlignment="1">
      <alignment vertical="center"/>
    </xf>
    <xf numFmtId="0" fontId="15" fillId="6" borderId="38" xfId="0" applyFont="1" applyFill="1" applyBorder="1" applyAlignment="1">
      <alignment horizontal="left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164" fontId="15" fillId="6" borderId="40" xfId="0" applyNumberFormat="1" applyFont="1" applyFill="1" applyBorder="1" applyAlignment="1">
      <alignment horizontal="center" vertical="center"/>
    </xf>
    <xf numFmtId="164" fontId="15" fillId="6" borderId="40" xfId="0" applyNumberFormat="1" applyFont="1" applyFill="1" applyBorder="1" applyAlignment="1">
      <alignment vertical="center"/>
    </xf>
    <xf numFmtId="164" fontId="15" fillId="6" borderId="41" xfId="0" applyNumberFormat="1" applyFont="1" applyFill="1" applyBorder="1" applyAlignment="1">
      <alignment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5" xfId="0" quotePrefix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 vertical="center"/>
    </xf>
    <xf numFmtId="164" fontId="15" fillId="7" borderId="15" xfId="0" applyNumberFormat="1" applyFont="1" applyFill="1" applyBorder="1" applyAlignment="1">
      <alignment vertical="center"/>
    </xf>
    <xf numFmtId="164" fontId="0" fillId="7" borderId="15" xfId="0" applyNumberFormat="1" applyFont="1" applyFill="1" applyBorder="1" applyAlignment="1">
      <alignment vertical="center"/>
    </xf>
    <xf numFmtId="164" fontId="15" fillId="7" borderId="16" xfId="0" applyNumberFormat="1" applyFont="1" applyFill="1" applyBorder="1" applyAlignment="1">
      <alignment vertical="center"/>
    </xf>
    <xf numFmtId="164" fontId="15" fillId="7" borderId="19" xfId="0" applyNumberFormat="1" applyFont="1" applyFill="1" applyBorder="1" applyAlignment="1">
      <alignment vertical="center"/>
    </xf>
    <xf numFmtId="0" fontId="15" fillId="7" borderId="21" xfId="0" applyFont="1" applyFill="1" applyBorder="1" applyAlignment="1">
      <alignment horizontal="left" vertical="center"/>
    </xf>
    <xf numFmtId="0" fontId="15" fillId="7" borderId="42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7" borderId="42" xfId="0" quotePrefix="1" applyFont="1" applyFill="1" applyBorder="1" applyAlignment="1">
      <alignment horizontal="center" vertical="center"/>
    </xf>
    <xf numFmtId="164" fontId="0" fillId="7" borderId="22" xfId="0" applyNumberFormat="1" applyFont="1" applyFill="1" applyBorder="1" applyAlignment="1">
      <alignment horizontal="center" vertical="center"/>
    </xf>
    <xf numFmtId="164" fontId="15" fillId="7" borderId="22" xfId="0" applyNumberFormat="1" applyFont="1" applyFill="1" applyBorder="1" applyAlignment="1">
      <alignment vertical="center"/>
    </xf>
    <xf numFmtId="164" fontId="0" fillId="7" borderId="22" xfId="0" applyNumberFormat="1" applyFont="1" applyFill="1" applyBorder="1" applyAlignment="1">
      <alignment vertical="center"/>
    </xf>
    <xf numFmtId="164" fontId="0" fillId="7" borderId="43" xfId="0" applyNumberFormat="1" applyFont="1" applyFill="1" applyBorder="1" applyAlignment="1">
      <alignment vertical="center"/>
    </xf>
    <xf numFmtId="0" fontId="15" fillId="6" borderId="28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left" vertical="center"/>
    </xf>
    <xf numFmtId="0" fontId="15" fillId="7" borderId="45" xfId="0" applyFont="1" applyFill="1" applyBorder="1" applyAlignment="1">
      <alignment horizontal="center" vertical="center"/>
    </xf>
    <xf numFmtId="164" fontId="0" fillId="7" borderId="46" xfId="0" applyNumberFormat="1" applyFont="1" applyFill="1" applyBorder="1" applyAlignment="1">
      <alignment horizontal="center" vertical="center"/>
    </xf>
    <xf numFmtId="164" fontId="0" fillId="7" borderId="46" xfId="0" applyNumberFormat="1" applyFont="1" applyFill="1" applyBorder="1" applyAlignment="1">
      <alignment vertical="center"/>
    </xf>
    <xf numFmtId="164" fontId="15" fillId="7" borderId="46" xfId="0" applyNumberFormat="1" applyFont="1" applyFill="1" applyBorder="1" applyAlignment="1">
      <alignment vertical="center"/>
    </xf>
    <xf numFmtId="164" fontId="15" fillId="7" borderId="45" xfId="0" applyNumberFormat="1" applyFont="1" applyFill="1" applyBorder="1" applyAlignment="1">
      <alignment vertical="center"/>
    </xf>
    <xf numFmtId="164" fontId="0" fillId="7" borderId="45" xfId="0" applyNumberFormat="1" applyFont="1" applyFill="1" applyBorder="1" applyAlignment="1">
      <alignment vertical="center"/>
    </xf>
    <xf numFmtId="164" fontId="0" fillId="7" borderId="10" xfId="0" applyNumberFormat="1" applyFont="1" applyFill="1" applyBorder="1" applyAlignment="1">
      <alignment vertical="center"/>
    </xf>
    <xf numFmtId="164" fontId="15" fillId="7" borderId="47" xfId="0" applyNumberFormat="1" applyFont="1" applyFill="1" applyBorder="1" applyAlignment="1">
      <alignment vertical="center"/>
    </xf>
    <xf numFmtId="164" fontId="0" fillId="7" borderId="0" xfId="0" applyNumberFormat="1" applyFill="1"/>
    <xf numFmtId="0" fontId="0" fillId="7" borderId="0" xfId="0" applyFill="1"/>
    <xf numFmtId="164" fontId="15" fillId="7" borderId="18" xfId="0" applyNumberFormat="1" applyFont="1" applyFill="1" applyBorder="1" applyAlignment="1">
      <alignment vertical="center"/>
    </xf>
    <xf numFmtId="164" fontId="0" fillId="7" borderId="18" xfId="0" applyNumberFormat="1" applyFont="1" applyFill="1" applyBorder="1" applyAlignment="1">
      <alignment vertical="center"/>
    </xf>
    <xf numFmtId="164" fontId="0" fillId="7" borderId="17" xfId="0" applyNumberFormat="1" applyFont="1" applyFill="1" applyBorder="1" applyAlignment="1">
      <alignment vertical="center"/>
    </xf>
    <xf numFmtId="0" fontId="15" fillId="7" borderId="48" xfId="0" applyFont="1" applyFill="1" applyBorder="1" applyAlignment="1">
      <alignment horizontal="center" vertical="center"/>
    </xf>
    <xf numFmtId="164" fontId="0" fillId="7" borderId="49" xfId="0" applyNumberFormat="1" applyFont="1" applyFill="1" applyBorder="1" applyAlignment="1">
      <alignment horizontal="center" vertical="center"/>
    </xf>
    <xf numFmtId="164" fontId="15" fillId="7" borderId="49" xfId="0" applyNumberFormat="1" applyFont="1" applyFill="1" applyBorder="1" applyAlignment="1">
      <alignment vertical="center"/>
    </xf>
    <xf numFmtId="0" fontId="0" fillId="7" borderId="36" xfId="0" applyFill="1" applyBorder="1"/>
    <xf numFmtId="164" fontId="0" fillId="0" borderId="0" xfId="0" applyNumberFormat="1" applyFill="1"/>
    <xf numFmtId="164" fontId="0" fillId="7" borderId="22" xfId="0" applyNumberFormat="1" applyFill="1" applyBorder="1" applyAlignment="1">
      <alignment horizontal="center" vertical="center"/>
    </xf>
    <xf numFmtId="164" fontId="0" fillId="7" borderId="22" xfId="0" applyNumberFormat="1" applyFill="1" applyBorder="1" applyAlignment="1">
      <alignment vertical="center"/>
    </xf>
    <xf numFmtId="0" fontId="0" fillId="0" borderId="36" xfId="0" applyFill="1" applyBorder="1"/>
    <xf numFmtId="164" fontId="0" fillId="7" borderId="43" xfId="0" applyNumberForma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44" fontId="0" fillId="0" borderId="0" xfId="4" applyFont="1"/>
    <xf numFmtId="164" fontId="4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5" applyNumberFormat="1" applyFont="1"/>
    <xf numFmtId="0" fontId="15" fillId="2" borderId="61" xfId="0" applyFont="1" applyFill="1" applyBorder="1" applyAlignment="1">
      <alignment horizontal="left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1" xfId="0" applyFont="1" applyFill="1" applyBorder="1"/>
    <xf numFmtId="44" fontId="15" fillId="2" borderId="61" xfId="4" applyFont="1" applyFill="1" applyBorder="1"/>
    <xf numFmtId="10" fontId="15" fillId="2" borderId="61" xfId="5" applyNumberFormat="1" applyFont="1" applyFill="1" applyBorder="1"/>
    <xf numFmtId="0" fontId="39" fillId="0" borderId="0" xfId="0" applyFont="1" applyAlignment="1">
      <alignment vertical="center"/>
    </xf>
    <xf numFmtId="0" fontId="40" fillId="59" borderId="0" xfId="0" applyFont="1" applyFill="1" applyAlignment="1">
      <alignment horizontal="center"/>
    </xf>
    <xf numFmtId="164" fontId="40" fillId="59" borderId="0" xfId="0" applyNumberFormat="1" applyFont="1" applyFill="1" applyAlignment="1">
      <alignment horizontal="center"/>
    </xf>
    <xf numFmtId="0" fontId="0" fillId="5" borderId="0" xfId="0" applyFill="1"/>
    <xf numFmtId="0" fontId="39" fillId="5" borderId="0" xfId="0" applyFont="1" applyFill="1" applyAlignment="1">
      <alignment vertical="center"/>
    </xf>
    <xf numFmtId="44" fontId="4" fillId="0" borderId="5" xfId="0" applyNumberFormat="1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44" fontId="4" fillId="0" borderId="64" xfId="0" applyNumberFormat="1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4" fontId="4" fillId="0" borderId="65" xfId="0" applyNumberFormat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5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Fill="1" applyBorder="1" applyAlignment="1">
      <alignment horizontal="center" vertical="center" wrapText="1"/>
    </xf>
    <xf numFmtId="49" fontId="4" fillId="0" borderId="65" xfId="0" applyNumberFormat="1" applyFont="1" applyFill="1" applyBorder="1" applyAlignment="1">
      <alignment horizontal="center" vertical="center" wrapText="1"/>
    </xf>
    <xf numFmtId="10" fontId="40" fillId="59" borderId="0" xfId="5" applyNumberFormat="1" applyFont="1" applyFill="1" applyAlignment="1">
      <alignment horizontal="center"/>
    </xf>
    <xf numFmtId="44" fontId="0" fillId="0" borderId="0" xfId="0" applyNumberFormat="1"/>
    <xf numFmtId="0" fontId="15" fillId="60" borderId="61" xfId="0" applyFont="1" applyFill="1" applyBorder="1" applyAlignment="1">
      <alignment horizontal="center" vertical="center" wrapText="1"/>
    </xf>
    <xf numFmtId="0" fontId="15" fillId="61" borderId="61" xfId="0" applyFont="1" applyFill="1" applyBorder="1" applyAlignment="1">
      <alignment horizontal="center" vertical="center" wrapText="1"/>
    </xf>
    <xf numFmtId="44" fontId="15" fillId="61" borderId="61" xfId="4" applyFont="1" applyFill="1" applyBorder="1"/>
    <xf numFmtId="44" fontId="15" fillId="60" borderId="61" xfId="4" applyFont="1" applyFill="1" applyBorder="1"/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14" fontId="17" fillId="5" borderId="0" xfId="0" applyNumberFormat="1" applyFont="1" applyFill="1" applyAlignment="1">
      <alignment horizontal="center"/>
    </xf>
    <xf numFmtId="0" fontId="15" fillId="58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17" fillId="0" borderId="25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25" xfId="0" applyFont="1" applyFill="1" applyBorder="1" applyAlignment="1">
      <alignment horizontal="center" vertical="top"/>
    </xf>
    <xf numFmtId="0" fontId="17" fillId="0" borderId="30" xfId="0" applyFont="1" applyFill="1" applyBorder="1" applyAlignment="1">
      <alignment horizontal="center" vertical="top"/>
    </xf>
    <xf numFmtId="0" fontId="17" fillId="0" borderId="20" xfId="0" applyFont="1" applyFill="1" applyBorder="1" applyAlignment="1">
      <alignment horizontal="center" vertical="top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</cellXfs>
  <cellStyles count="90">
    <cellStyle name="Accent1 - 20%" xfId="8"/>
    <cellStyle name="Accent1 - 40%" xfId="9"/>
    <cellStyle name="Accent1 - 60%" xfId="10"/>
    <cellStyle name="Accent2 - 20%" xfId="12"/>
    <cellStyle name="Accent2 - 40%" xfId="13"/>
    <cellStyle name="Accent2 - 60%" xfId="14"/>
    <cellStyle name="Accent3 - 20%" xfId="16"/>
    <cellStyle name="Accent3 - 40%" xfId="17"/>
    <cellStyle name="Accent3 - 60%" xfId="18"/>
    <cellStyle name="Accent4 - 20%" xfId="20"/>
    <cellStyle name="Accent4 - 40%" xfId="21"/>
    <cellStyle name="Accent4 - 60%" xfId="22"/>
    <cellStyle name="Accent5 - 20%" xfId="24"/>
    <cellStyle name="Accent5 - 40%" xfId="25"/>
    <cellStyle name="Accent5 - 60%" xfId="26"/>
    <cellStyle name="Accent6 - 20%" xfId="28"/>
    <cellStyle name="Accent6 - 40%" xfId="29"/>
    <cellStyle name="Accent6 - 60%" xfId="30"/>
    <cellStyle name="Cabeçalho 1 2" xfId="38"/>
    <cellStyle name="Cabeçalho 2 2" xfId="39"/>
    <cellStyle name="Cabeçalho 3 2" xfId="40"/>
    <cellStyle name="Cabeçalho 4 2" xfId="41"/>
    <cellStyle name="Cálculo 2" xfId="32"/>
    <cellStyle name="Célula Ligada 2" xfId="43"/>
    <cellStyle name="Cor1 2" xfId="7"/>
    <cellStyle name="Cor2 2" xfId="11"/>
    <cellStyle name="Cor3 2" xfId="15"/>
    <cellStyle name="Cor4 2" xfId="19"/>
    <cellStyle name="Cor5 2" xfId="23"/>
    <cellStyle name="Cor6 2" xfId="27"/>
    <cellStyle name="Correto 2" xfId="37"/>
    <cellStyle name="Emphasis 1" xfId="34"/>
    <cellStyle name="Emphasis 2" xfId="35"/>
    <cellStyle name="Emphasis 3" xfId="36"/>
    <cellStyle name="Entrada 2" xfId="42"/>
    <cellStyle name="Incorreto 2" xfId="31"/>
    <cellStyle name="Moeda" xfId="4" builtinId="4"/>
    <cellStyle name="Neutro 2" xfId="44"/>
    <cellStyle name="Normal" xfId="0" builtinId="0"/>
    <cellStyle name="Normal 2" xfId="1"/>
    <cellStyle name="Normal 3" xfId="2"/>
    <cellStyle name="Normal 4" xfId="6"/>
    <cellStyle name="Nota 2" xfId="45"/>
    <cellStyle name="Percentagem" xfId="5" builtinId="5"/>
    <cellStyle name="Saída 2" xfId="46"/>
    <cellStyle name="SAPBEXaggData" xfId="47"/>
    <cellStyle name="SAPBEXaggDataEmph" xfId="48"/>
    <cellStyle name="SAPBEXaggItem" xfId="49"/>
    <cellStyle name="SAPBEXaggItemX" xfId="50"/>
    <cellStyle name="SAPBEXchaText" xfId="51"/>
    <cellStyle name="SAPBEXexcBad7" xfId="52"/>
    <cellStyle name="SAPBEXexcBad8" xfId="53"/>
    <cellStyle name="SAPBEXexcBad9" xfId="54"/>
    <cellStyle name="SAPBEXexcCritical4" xfId="55"/>
    <cellStyle name="SAPBEXexcCritical5" xfId="56"/>
    <cellStyle name="SAPBEXexcCritical6" xfId="57"/>
    <cellStyle name="SAPBEXexcGood1" xfId="58"/>
    <cellStyle name="SAPBEXexcGood2" xfId="59"/>
    <cellStyle name="SAPBEXexcGood3" xfId="60"/>
    <cellStyle name="SAPBEXfilterDrill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3"/>
    <cellStyle name="SAPBEXstdDataEmph" xfId="81"/>
    <cellStyle name="SAPBEXstdItem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Texto de Aviso 2" xfId="89"/>
    <cellStyle name="Total 2" xfId="88"/>
    <cellStyle name="Verificar Célula 2" xfId="33"/>
  </cellStyles>
  <dxfs count="0"/>
  <tableStyles count="0" defaultTableStyle="TableStyleMedium2" defaultPivotStyle="PivotStyleLight16"/>
  <colors>
    <mruColors>
      <color rgb="FFFFCCCC"/>
      <color rgb="FFFDE44D"/>
      <color rgb="FFED7A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FSPC_dashboard v30062023_2.xlsx]Contratação por Projeto!Contratação por Projeto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Valor</a:t>
            </a:r>
            <a:r>
              <a:rPr lang="en-US" b="1" baseline="0"/>
              <a:t> Contratação por Projeto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'Contratação por Projeto'!$B$1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'Contratação por Projeto'!$A$2:$A$7</c:f>
              <c:strCache>
                <c:ptCount val="5"/>
                <c:pt idx="0">
                  <c:v>12877 - Castelo de Guimarães</c:v>
                </c:pt>
                <c:pt idx="1">
                  <c:v>12894 - Concatedral Miranda do Douro</c:v>
                </c:pt>
                <c:pt idx="2">
                  <c:v>12896 - Igreja São Miguel</c:v>
                </c:pt>
                <c:pt idx="3">
                  <c:v>12897 - Museu Alberto Sampaio</c:v>
                </c:pt>
                <c:pt idx="4">
                  <c:v>12898 - Paço dos Duques</c:v>
                </c:pt>
              </c:strCache>
            </c:strRef>
          </c:cat>
          <c:val>
            <c:numRef>
              <c:f>'Contratação por Projeto'!$B$2:$B$7</c:f>
              <c:numCache>
                <c:formatCode>General</c:formatCode>
                <c:ptCount val="5"/>
                <c:pt idx="0">
                  <c:v>340367.41999999993</c:v>
                </c:pt>
                <c:pt idx="1">
                  <c:v>16272.9</c:v>
                </c:pt>
                <c:pt idx="2">
                  <c:v>115846.55380000001</c:v>
                </c:pt>
                <c:pt idx="3">
                  <c:v>24477</c:v>
                </c:pt>
                <c:pt idx="4">
                  <c:v>45448.5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9-4102-9EEB-B8068695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077224"/>
        <c:axId val="516082144"/>
      </c:barChart>
      <c:catAx>
        <c:axId val="51607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16082144"/>
        <c:crosses val="autoZero"/>
        <c:auto val="1"/>
        <c:lblAlgn val="ctr"/>
        <c:lblOffset val="100"/>
        <c:noMultiLvlLbl val="0"/>
      </c:catAx>
      <c:valAx>
        <c:axId val="51608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1607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FSPC_dashboard v30062023_2.xlsx]Pagamentos por Projeto!Pagamentos por Projeto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Pagamentos por Projeto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'Pagamentos por Projeto'!$B$1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'Pagamentos por Projeto'!$A$2:$A$7</c:f>
              <c:strCache>
                <c:ptCount val="5"/>
                <c:pt idx="0">
                  <c:v>12877 - Castelo de Guimarães</c:v>
                </c:pt>
                <c:pt idx="1">
                  <c:v>12894 - Concatedral Miranda do Douro</c:v>
                </c:pt>
                <c:pt idx="2">
                  <c:v>12896 - Igreja São Miguel</c:v>
                </c:pt>
                <c:pt idx="3">
                  <c:v>12897 - Museu Alberto Sampaio</c:v>
                </c:pt>
                <c:pt idx="4">
                  <c:v>12898 - Paço dos Duques</c:v>
                </c:pt>
              </c:strCache>
            </c:strRef>
          </c:cat>
          <c:val>
            <c:numRef>
              <c:f>'Pagamentos por Projeto'!$B$2:$B$7</c:f>
              <c:numCache>
                <c:formatCode>General</c:formatCode>
                <c:ptCount val="5"/>
                <c:pt idx="0">
                  <c:v>24918.6</c:v>
                </c:pt>
                <c:pt idx="1">
                  <c:v>16272.9</c:v>
                </c:pt>
                <c:pt idx="2">
                  <c:v>89007.01999999999</c:v>
                </c:pt>
                <c:pt idx="3">
                  <c:v>22029.3</c:v>
                </c:pt>
                <c:pt idx="4">
                  <c:v>45448.5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9-43DD-9084-A9BF6FC90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555984"/>
        <c:axId val="415550736"/>
      </c:barChart>
      <c:catAx>
        <c:axId val="41555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5550736"/>
        <c:crosses val="autoZero"/>
        <c:auto val="1"/>
        <c:lblAlgn val="ctr"/>
        <c:lblOffset val="100"/>
        <c:noMultiLvlLbl val="0"/>
      </c:catAx>
      <c:valAx>
        <c:axId val="4155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555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FSPC_dashboard v30062023_2.xlsx]Pagamentos por Projeto!Pagamentos por Projeto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Pagamentos por Projeto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'Pagamentos por Projeto'!$B$1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'Pagamentos por Projeto'!$A$2:$A$7</c:f>
              <c:strCache>
                <c:ptCount val="5"/>
                <c:pt idx="0">
                  <c:v>12877 - Castelo de Guimarães</c:v>
                </c:pt>
                <c:pt idx="1">
                  <c:v>12894 - Concatedral Miranda do Douro</c:v>
                </c:pt>
                <c:pt idx="2">
                  <c:v>12896 - Igreja São Miguel</c:v>
                </c:pt>
                <c:pt idx="3">
                  <c:v>12897 - Museu Alberto Sampaio</c:v>
                </c:pt>
                <c:pt idx="4">
                  <c:v>12898 - Paço dos Duques</c:v>
                </c:pt>
              </c:strCache>
            </c:strRef>
          </c:cat>
          <c:val>
            <c:numRef>
              <c:f>'Pagamentos por Projeto'!$B$2:$B$7</c:f>
              <c:numCache>
                <c:formatCode>General</c:formatCode>
                <c:ptCount val="5"/>
                <c:pt idx="0">
                  <c:v>24918.6</c:v>
                </c:pt>
                <c:pt idx="1">
                  <c:v>16272.9</c:v>
                </c:pt>
                <c:pt idx="2">
                  <c:v>89007.01999999999</c:v>
                </c:pt>
                <c:pt idx="3">
                  <c:v>22029.3</c:v>
                </c:pt>
                <c:pt idx="4">
                  <c:v>45448.5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E-4E61-9C41-E6C7CA50B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555984"/>
        <c:axId val="415550736"/>
      </c:barChart>
      <c:catAx>
        <c:axId val="41555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5550736"/>
        <c:crosses val="autoZero"/>
        <c:auto val="1"/>
        <c:lblAlgn val="ctr"/>
        <c:lblOffset val="100"/>
        <c:noMultiLvlLbl val="0"/>
      </c:catAx>
      <c:valAx>
        <c:axId val="4155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555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[PRR FSPC_dashboard v30062023_2.xlsx]Contratação por Projeto!Contratação por Projeto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</a:t>
            </a:r>
            <a:r>
              <a:rPr lang="en-US" baseline="0"/>
              <a:t> Contratação por Projeto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'Contratação por Projeto'!$B$1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'Contratação por Projeto'!$A$2:$A$7</c:f>
              <c:strCache>
                <c:ptCount val="5"/>
                <c:pt idx="0">
                  <c:v>12877 - Castelo de Guimarães</c:v>
                </c:pt>
                <c:pt idx="1">
                  <c:v>12894 - Concatedral Miranda do Douro</c:v>
                </c:pt>
                <c:pt idx="2">
                  <c:v>12896 - Igreja São Miguel</c:v>
                </c:pt>
                <c:pt idx="3">
                  <c:v>12897 - Museu Alberto Sampaio</c:v>
                </c:pt>
                <c:pt idx="4">
                  <c:v>12898 - Paço dos Duques</c:v>
                </c:pt>
              </c:strCache>
            </c:strRef>
          </c:cat>
          <c:val>
            <c:numRef>
              <c:f>'Contratação por Projeto'!$B$2:$B$7</c:f>
              <c:numCache>
                <c:formatCode>General</c:formatCode>
                <c:ptCount val="5"/>
                <c:pt idx="0">
                  <c:v>340367.41999999993</c:v>
                </c:pt>
                <c:pt idx="1">
                  <c:v>16272.9</c:v>
                </c:pt>
                <c:pt idx="2">
                  <c:v>115846.55380000001</c:v>
                </c:pt>
                <c:pt idx="3">
                  <c:v>24477</c:v>
                </c:pt>
                <c:pt idx="4">
                  <c:v>45448.5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A-4B54-955C-0F7F1192B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077224"/>
        <c:axId val="516082144"/>
      </c:barChart>
      <c:catAx>
        <c:axId val="51607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16082144"/>
        <c:crosses val="autoZero"/>
        <c:auto val="1"/>
        <c:lblAlgn val="ctr"/>
        <c:lblOffset val="100"/>
        <c:noMultiLvlLbl val="0"/>
      </c:catAx>
      <c:valAx>
        <c:axId val="51608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1607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2626150</xdr:colOff>
      <xdr:row>2</xdr:row>
      <xdr:rowOff>59266</xdr:rowOff>
    </xdr:from>
    <xdr:to>
      <xdr:col>6</xdr:col>
      <xdr:colOff>1158240</xdr:colOff>
      <xdr:row>27</xdr:row>
      <xdr:rowOff>45719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2</xdr:row>
      <xdr:rowOff>74612</xdr:rowOff>
    </xdr:from>
    <xdr:to>
      <xdr:col>0</xdr:col>
      <xdr:colOff>2565525</xdr:colOff>
      <xdr:row>12</xdr:row>
      <xdr:rowOff>26670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Projet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" y="636587"/>
              <a:ext cx="2556000" cy="18570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23177</xdr:colOff>
      <xdr:row>12</xdr:row>
      <xdr:rowOff>86464</xdr:rowOff>
    </xdr:from>
    <xdr:to>
      <xdr:col>0</xdr:col>
      <xdr:colOff>2579177</xdr:colOff>
      <xdr:row>20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Tipo de procediment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procedi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77" y="2553439"/>
              <a:ext cx="2556000" cy="14565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6</xdr:col>
      <xdr:colOff>1219200</xdr:colOff>
      <xdr:row>2</xdr:row>
      <xdr:rowOff>53340</xdr:rowOff>
    </xdr:from>
    <xdr:to>
      <xdr:col>13</xdr:col>
      <xdr:colOff>397933</xdr:colOff>
      <xdr:row>27</xdr:row>
      <xdr:rowOff>42333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26458</xdr:colOff>
      <xdr:row>20</xdr:row>
      <xdr:rowOff>76201</xdr:rowOff>
    </xdr:from>
    <xdr:to>
      <xdr:col>0</xdr:col>
      <xdr:colOff>2582458</xdr:colOff>
      <xdr:row>26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458" y="4067176"/>
              <a:ext cx="2556000" cy="1142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26670</xdr:rowOff>
    </xdr:from>
    <xdr:to>
      <xdr:col>3</xdr:col>
      <xdr:colOff>230505</xdr:colOff>
      <xdr:row>22</xdr:row>
      <xdr:rowOff>102870</xdr:rowOff>
    </xdr:to>
    <xdr:graphicFrame macro="">
      <xdr:nvGraphicFramePr>
        <xdr:cNvPr id="2" name="Pagamentos por Projet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560070</xdr:colOff>
      <xdr:row>10</xdr:row>
      <xdr:rowOff>1904</xdr:rowOff>
    </xdr:from>
    <xdr:to>
      <xdr:col>15</xdr:col>
      <xdr:colOff>236220</xdr:colOff>
      <xdr:row>28</xdr:row>
      <xdr:rowOff>146685</xdr:rowOff>
    </xdr:to>
    <xdr:graphicFrame macro="">
      <xdr:nvGraphicFramePr>
        <xdr:cNvPr id="2" name="Contratação por Projet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9</xdr:row>
      <xdr:rowOff>152400</xdr:rowOff>
    </xdr:from>
    <xdr:to>
      <xdr:col>0</xdr:col>
      <xdr:colOff>2114550</xdr:colOff>
      <xdr:row>19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je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1866900"/>
              <a:ext cx="1828800" cy="1838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561975</xdr:colOff>
      <xdr:row>9</xdr:row>
      <xdr:rowOff>133350</xdr:rowOff>
    </xdr:from>
    <xdr:to>
      <xdr:col>2</xdr:col>
      <xdr:colOff>1005840</xdr:colOff>
      <xdr:row>22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procedimen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procedi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14650" y="18478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619125</xdr:colOff>
      <xdr:row>23</xdr:row>
      <xdr:rowOff>142875</xdr:rowOff>
    </xdr:from>
    <xdr:to>
      <xdr:col>2</xdr:col>
      <xdr:colOff>1062990</xdr:colOff>
      <xdr:row>37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ntidad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1800" y="4524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285749</xdr:colOff>
      <xdr:row>23</xdr:row>
      <xdr:rowOff>171451</xdr:rowOff>
    </xdr:from>
    <xdr:to>
      <xdr:col>1</xdr:col>
      <xdr:colOff>19049</xdr:colOff>
      <xdr:row>32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C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49" y="4552951"/>
              <a:ext cx="2085975" cy="15906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scarina Martins" refreshedDate="45107.381661111111" createdVersion="6" refreshedVersion="6" minRefreshableVersion="3" recordCount="16">
  <cacheSource type="worksheet">
    <worksheetSource ref="A1:AB17" sheet="Listagem"/>
  </cacheSource>
  <cacheFields count="29">
    <cacheField name="Projeto" numFmtId="0">
      <sharedItems count="5">
        <s v="12877 - Castelo de Guimarães"/>
        <s v="12894 - Concatedral Miranda do Douro"/>
        <s v="12896 - Igreja São Miguel"/>
        <s v="12897 - Museu Alberto Sampaio"/>
        <s v="12898 - Paço dos Duques"/>
      </sharedItems>
    </cacheField>
    <cacheField name="Valor Contrato FSG" numFmtId="44">
      <sharedItems containsString="0" containsBlank="1" containsNumber="1" containsInteger="1" minValue="165000" maxValue="1408000"/>
    </cacheField>
    <cacheField name="N.º de procedimento" numFmtId="0">
      <sharedItems/>
    </cacheField>
    <cacheField name="Técnico" numFmtId="0">
      <sharedItems/>
    </cacheField>
    <cacheField name="Assunto" numFmtId="0">
      <sharedItems/>
    </cacheField>
    <cacheField name="N.º da informação abertura (C.S.)" numFmtId="0">
      <sharedItems containsSemiMixedTypes="0" containsString="0" containsNumber="1" containsInteger="1" minValue="1564506" maxValue="1671053"/>
    </cacheField>
    <cacheField name="Data da informação abertura" numFmtId="14">
      <sharedItems containsSemiMixedTypes="0" containsNonDate="0" containsDate="1" containsString="0" minDate="2022-03-09T00:00:00" maxDate="2023-05-11T00:00:00"/>
    </cacheField>
    <cacheField name="Tipo de procedimento" numFmtId="0">
      <sharedItems containsBlank="1" count="6">
        <s v="Ajuste Direto"/>
        <s v="Ajuste Direto Simplificado"/>
        <s v="Concurso Público"/>
        <s v="Consulta Prévia"/>
        <m u="1"/>
        <s v="Ajuste Direto " u="1"/>
      </sharedItems>
    </cacheField>
    <cacheField name="Justificação legal" numFmtId="0">
      <sharedItems/>
    </cacheField>
    <cacheField name="CPV" numFmtId="0">
      <sharedItems/>
    </cacheField>
    <cacheField name="Entidade" numFmtId="0">
      <sharedItems containsBlank="1" count="13">
        <s v="A2R - Project &amp; Services"/>
        <s v="Cordeiro &amp; Catarino, Lda"/>
        <s v="José Miguel de Oliveira Ferreira de Melo"/>
        <s v="AOF - Augusto de Oliveira Ferreira, Lda"/>
        <s v="Metamorphic Planet-Geomática"/>
        <s v="António Santos Lessa &amp; Associados"/>
        <s v="Filipa Rocha Arquitetura Unipessoal Lda"/>
        <m/>
        <s v="Arqueoges, Unipessoal Lda"/>
        <s v="Domínio do Ligante-Argamassas"/>
        <s v="Paulo Providência Arquitetos, Ldª"/>
        <s v="TECMINHO - UNIVERSIDADE DO MINHO"/>
        <s v="Síncrono - Soluções Integradas "/>
      </sharedItems>
    </cacheField>
    <cacheField name="Cabimentação" numFmtId="0">
      <sharedItems/>
    </cacheField>
    <cacheField name="Data Cabimento" numFmtId="14">
      <sharedItems containsSemiMixedTypes="0" containsNonDate="0" containsDate="1" containsString="0" minDate="2022-04-06T00:00:00" maxDate="2023-06-10T00:00:00"/>
    </cacheField>
    <cacheField name="Convite" numFmtId="0">
      <sharedItems containsDate="1" containsBlank="1" containsMixedTypes="1" minDate="2022-04-18T00:00:00" maxDate="2022-08-30T00:00:00"/>
    </cacheField>
    <cacheField name="N.º da informação Adjudicação (C.S.)" numFmtId="0">
      <sharedItems containsBlank="1" containsMixedTypes="1" containsNumber="1" containsInteger="1" minValue="1574925" maxValue="1671053"/>
    </cacheField>
    <cacheField name="Adjudicação (compromisso)" numFmtId="0">
      <sharedItems containsBlank="1"/>
    </cacheField>
    <cacheField name="Data Compromisso" numFmtId="14">
      <sharedItems containsDate="1" containsBlank="1" containsMixedTypes="1" minDate="2022-04-13T00:00:00" maxDate="2023-06-14T00:00:00"/>
    </cacheField>
    <cacheField name="Valor (s/IVA)" numFmtId="164">
      <sharedItems containsString="0" containsBlank="1" containsNumber="1" minValue="2400" maxValue="297593.23"/>
    </cacheField>
    <cacheField name="Valor (c/IVA)" numFmtId="164">
      <sharedItems containsString="0" containsBlank="1" containsNumber="1" minValue="2952" maxValue="315448.81999999995" count="16">
        <n v="10701"/>
        <n v="4992.6000000000004"/>
        <n v="9225"/>
        <n v="315448.81999999995"/>
        <n v="7503"/>
        <n v="5817.9"/>
        <n v="2952"/>
        <m/>
        <n v="5830.2"/>
        <n v="14667.75"/>
        <n v="82166.143800000005"/>
        <n v="5298.9400000000005"/>
        <n v="7883.52"/>
        <n v="24477"/>
        <n v="12238.5"/>
        <n v="33210"/>
      </sharedItems>
    </cacheField>
    <cacheField name="N.º Contrato" numFmtId="0">
      <sharedItems containsBlank="1" containsMixedTypes="1" containsNumber="1" containsInteger="1" minValue="11" maxValue="42"/>
    </cacheField>
    <cacheField name="Data Contrato" numFmtId="0">
      <sharedItems containsDate="1" containsBlank="1" containsMixedTypes="1" minDate="2022-07-01T00:00:00" maxDate="2023-06-16T00:00:00"/>
    </cacheField>
    <cacheField name="N.º Registo Portal Base" numFmtId="0">
      <sharedItems containsBlank="1" containsMixedTypes="1" containsNumber="1" containsInteger="1" minValue="9321807" maxValue="12361923"/>
    </cacheField>
    <cacheField name="Data Registo Portal Base" numFmtId="0">
      <sharedItems containsDate="1" containsBlank="1" containsMixedTypes="1" minDate="2022-06-23T00:00:00" maxDate="2023-06-24T00:00:00"/>
    </cacheField>
    <cacheField name="Observações" numFmtId="0">
      <sharedItems containsBlank="1"/>
    </cacheField>
    <cacheField name="CE" numFmtId="49">
      <sharedItems containsBlank="1" count="5">
        <s v="020214 - Projetos"/>
        <s v="070305 - Obra"/>
        <s v="070305"/>
        <s v="020220 - Trabalhos Especializados"/>
        <m u="1"/>
      </sharedItems>
    </cacheField>
    <cacheField name="FF" numFmtId="0">
      <sharedItems containsMixedTypes="1" containsNumber="1" containsInteger="1" minValue="483" maxValue="483"/>
    </cacheField>
    <cacheField name="Prazo execução" numFmtId="0">
      <sharedItems containsBlank="1"/>
    </cacheField>
    <cacheField name="Pagamentos 2022" numFmtId="164">
      <sharedItems containsString="0" containsBlank="1" containsNumber="1" minValue="2952" maxValue="68509.069999999992"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n v="495000"/>
    <s v="Proc. n.º 124 / DRCN / 2022"/>
    <s v="Agostinho Costa"/>
    <s v="Projecto de Electricidade, Telecomunicações e Segurança Activa –  Box de receção/acolhimento, Adarve e Torreões”, no âmbito da empreitada de reabilitação e requalificação das acessibilidades do Castelo de Guimarães"/>
    <n v="1577019"/>
    <d v="2022-03-16T00:00:00"/>
    <x v="0"/>
    <s v="artigo 20º nº1 al. d)"/>
    <s v="71240000-2 Serviços de arquitetura, engenharia e planeamento"/>
    <x v="0"/>
    <s v="BE42200337"/>
    <d v="2022-04-11T00:00:00"/>
    <d v="2022-04-19T00:00:00"/>
    <n v="1586371"/>
    <s v="BE52200406"/>
    <d v="2022-05-10T00:00:00"/>
    <n v="8700"/>
    <x v="0"/>
    <s v="n.a."/>
    <s v="n.a."/>
    <n v="9321807"/>
    <d v="2022-06-23T00:00:00"/>
    <s v="enviada notificação de adjudicação em 16/05/2022"/>
    <x v="0"/>
    <n v="483"/>
    <s v=" 45 dias"/>
    <n v="10701"/>
  </r>
  <r>
    <x v="0"/>
    <m/>
    <s v="Proc. n.º 182 / DRCN / 2022"/>
    <s v="Agostinho Costa"/>
    <s v="Fornecimento e execução de protótipo de passadiço do Adarve do Castelo de Guimarães - Pedido de abertura e adjudicação por ajuste direto simplificado"/>
    <n v="1588024"/>
    <d v="2022-05-03T00:00:00"/>
    <x v="1"/>
    <s v="Aj Simpl. 19.º d) e Art128.º &lt;10.000€"/>
    <s v="45223110-0 Instalação de estruturas metálicas"/>
    <x v="1"/>
    <s v="BE42200481"/>
    <d v="2022-05-30T00:00:00"/>
    <s v="n.a."/>
    <n v="1588024"/>
    <s v="BE52200469"/>
    <d v="2022-06-01T00:00:00"/>
    <n v="4710"/>
    <x v="1"/>
    <s v="n.a."/>
    <s v="n.a."/>
    <s v="n.a."/>
    <s v="n.a."/>
    <s v="enviada notificação de adjudicação em 23/06/2022"/>
    <x v="1"/>
    <n v="483"/>
    <s v="30 dias"/>
    <n v="4992.6000000000004"/>
  </r>
  <r>
    <x v="0"/>
    <m/>
    <s v="Proc. n.º 191 / DRCN / 2022"/>
    <s v="Agostinho Costa"/>
    <s v="Aquisição de serviços do Projeto de Arquitetura da Box de receção/acolhimento do Castelo de Guimarães - Pedido de abertura de procedimento por ajuste direto"/>
    <n v="1590287"/>
    <d v="2022-05-11T00:00:00"/>
    <x v="0"/>
    <s v="artigo 20º nº1 al. d)"/>
    <s v="71240000-2 Serviços de arquitetura, engenharia e planeamento"/>
    <x v="2"/>
    <s v="BE42200476"/>
    <d v="2022-05-26T00:00:00"/>
    <d v="2022-05-31T00:00:00"/>
    <n v="1595623"/>
    <s v="BE52200527"/>
    <d v="2022-07-08T00:00:00"/>
    <n v="7500"/>
    <x v="2"/>
    <s v="n.a."/>
    <s v="n.a."/>
    <n v="9382116"/>
    <d v="2022-07-22T00:00:00"/>
    <s v="enviada notificação de adjudicação em 15/07/2022"/>
    <x v="0"/>
    <n v="483"/>
    <s v="100 dias"/>
    <n v="9225"/>
  </r>
  <r>
    <x v="0"/>
    <m/>
    <s v="Proc. n.º 298 / DRCN / 2022"/>
    <s v="Agostinho Costa"/>
    <s v="Reestruturação e melhoramento das acessibilidades, da segurança e instalação de infraestrutura para a futura rede Wifi - 1.ª fase"/>
    <n v="1607992"/>
    <d v="2022-12-16T00:00:00"/>
    <x v="2"/>
    <s v="artigo 19º al. b)"/>
    <s v="45454000-4 Obras de reestruturação"/>
    <x v="3"/>
    <s v="BE42300154"/>
    <d v="2023-02-03T00:00:00"/>
    <s v="n.a."/>
    <s v="1667197 - Lote 1, 1667379 - Lote 2"/>
    <s v="BE52300390 - Lote 1, BE52300416 - Lote 2"/>
    <s v="15/05/2023 e 22/05/2023"/>
    <n v="297593.23"/>
    <x v="3"/>
    <s v="14 - Lote 1, 15 - Lote 2"/>
    <d v="2023-05-26T00:00:00"/>
    <s v="10088134 e 10088171"/>
    <d v="2023-06-23T00:00:00"/>
    <s v="esta contratação tem uma parte que corresponde ao FSPC e outra que corresponde ao GEPAC"/>
    <x v="2"/>
    <s v="483 e 484"/>
    <s v="180 dias para o Lote 1 e 120 dias para o Lote 2"/>
    <m/>
  </r>
  <r>
    <x v="1"/>
    <n v="385000"/>
    <s v="Proc. n.º 100 / DRCN / 2022"/>
    <s v="Artur Alves"/>
    <s v="Pedido de abertura de procedimento por ajuste direto simplificado. Levantamento geométrico vetorial parcial da ConCatedral de Miranda do Douro"/>
    <n v="1564506"/>
    <d v="2022-03-09T00:00:00"/>
    <x v="0"/>
    <s v="artigo 20º nº1 al. d)"/>
    <s v="71355100-2 Serviços de fotogrametria"/>
    <x v="4"/>
    <s v="BE42200367"/>
    <d v="2022-04-26T00:00:00"/>
    <m/>
    <n v="1574925"/>
    <s v="BE52200426"/>
    <d v="2022-05-18T00:00:00"/>
    <n v="6100"/>
    <x v="4"/>
    <s v="n.a."/>
    <s v="n.a."/>
    <n v="9339243"/>
    <d v="2022-07-06T00:00:00"/>
    <s v="enviada notificação de adjudicação em 19/05/2022"/>
    <x v="3"/>
    <n v="483"/>
    <s v="30 dias"/>
    <n v="7503"/>
  </r>
  <r>
    <x v="1"/>
    <m/>
    <s v="Proc. n.º 139 / DRCN / 2022"/>
    <s v="Artur Alves"/>
    <s v="Pedido de abertura de procedimento e adjudicação por ajuste direto simplificado - Projeto de Iluminação parcial da ConCatedral de Miranda do Douro.DRCN-DSBC-DO/2022/04-06/53 com cs 124493."/>
    <n v="1578438"/>
    <d v="2022-03-23T00:00:00"/>
    <x v="1"/>
    <s v="Art 20.º d) e 128.º &lt;5.000€"/>
    <s v="71300000-1 Serviços de engenharia"/>
    <x v="5"/>
    <s v="BE42200338"/>
    <d v="2022-04-11T00:00:00"/>
    <m/>
    <n v="1578438"/>
    <s v="BE52200325"/>
    <d v="2022-04-13T00:00:00"/>
    <n v="4730"/>
    <x v="5"/>
    <s v="n.a."/>
    <s v="n.a."/>
    <s v="n.a."/>
    <s v="n.a."/>
    <s v="enviada notificação de adjudicação em 13/04/2022"/>
    <x v="0"/>
    <n v="483"/>
    <s v="60 dias"/>
    <n v="5817.9"/>
  </r>
  <r>
    <x v="1"/>
    <m/>
    <s v="Proc. n.º 394 / DRCN / 2022"/>
    <s v="Artur Alves"/>
    <s v="Aquisição de serviços apoio de desenho ao Projeto de requalificação da Concatedral,"/>
    <n v="1623347"/>
    <d v="2022-10-19T00:00:00"/>
    <x v="1"/>
    <s v="Art 20.º d) e 128.º &lt;5.000€"/>
    <s v="71210000-3 Serviços de acessoria em matéria de arquitetura"/>
    <x v="6"/>
    <s v="BE42200946"/>
    <d v="2022-10-20T00:00:00"/>
    <m/>
    <n v="1623347"/>
    <s v="BE52200918"/>
    <d v="2022-10-24T00:00:00"/>
    <n v="2400"/>
    <x v="6"/>
    <s v="n.a."/>
    <s v="n.a."/>
    <s v="n.a."/>
    <s v="n.a."/>
    <s v="enviada notificação de adjudicação em 24/10/2022"/>
    <x v="3"/>
    <n v="483"/>
    <s v="15 dias"/>
    <n v="2952"/>
  </r>
  <r>
    <x v="1"/>
    <m/>
    <s v="Proc. n.º 27 / DRCN / 2023"/>
    <s v="Artur Alves"/>
    <s v="Empreitada Reabilitação, Requalificação e Instalação de Infraestruturas para futura rede WiFi"/>
    <n v="1646051"/>
    <d v="2023-03-27T00:00:00"/>
    <x v="2"/>
    <s v="artigo 19º al. b)"/>
    <s v="45454000-4 Obras de reestruturação"/>
    <x v="7"/>
    <s v="BE42300259"/>
    <d v="2023-04-05T00:00:00"/>
    <m/>
    <m/>
    <m/>
    <m/>
    <m/>
    <x v="7"/>
    <m/>
    <m/>
    <m/>
    <m/>
    <s v="a decorrer"/>
    <x v="1"/>
    <s v="483 e 484"/>
    <m/>
    <m/>
  </r>
  <r>
    <x v="2"/>
    <n v="308000"/>
    <s v="Proc. n.º 162 / DRCN / 2022"/>
    <s v="Agostinho Costa"/>
    <s v="Pedido de abertura e adjudicação de procedimento por ajuste direto simplificado do Projeto de Eletricidade, Telecomunicações e Segurança Ativa – igreja de São Miguel do Castelo de Guimarães”"/>
    <n v="1582996"/>
    <d v="2022-04-08T00:00:00"/>
    <x v="1"/>
    <s v="Art 20.º d) e 128.º &lt;5.000€"/>
    <s v="71240000-2-Serviços de arquitetura, engenharia e planeamento"/>
    <x v="0"/>
    <s v="BE42200343"/>
    <d v="2022-04-12T00:00:00"/>
    <m/>
    <n v="1582996"/>
    <s v="BE52200328"/>
    <d v="2022-04-13T00:00:00"/>
    <n v="4740"/>
    <x v="8"/>
    <s v="n.a."/>
    <s v="n.a."/>
    <s v="n.a."/>
    <s v="n.a."/>
    <s v="enviada notificação de adjudicação em 13/04/2022"/>
    <x v="0"/>
    <n v="483"/>
    <s v="45 dias"/>
    <n v="5830.2"/>
  </r>
  <r>
    <x v="2"/>
    <m/>
    <s v="Proc. n.º 233 / DRCN / 2022"/>
    <s v="Paulo Amaral"/>
    <s v="Pedido de abertura de procedimento de ajuste direto - Intervenção Arqueológica– igreja de São Miguel do Castelo de Guimarães"/>
    <n v="1595710"/>
    <d v="2022-06-15T00:00:00"/>
    <x v="0"/>
    <s v="artigo 20º nº1 al. d)"/>
    <s v="71351914-3 - Serviços arqueológicos"/>
    <x v="8"/>
    <s v="BE42200569"/>
    <d v="2022-06-15T00:00:00"/>
    <d v="2022-07-25T00:00:00"/>
    <n v="1612455"/>
    <s v="BE52200756"/>
    <d v="2022-09-12T00:00:00"/>
    <n v="11925"/>
    <x v="9"/>
    <n v="31"/>
    <d v="2022-10-21T00:00:00"/>
    <n v="9539364"/>
    <d v="2022-11-08T00:00:00"/>
    <m/>
    <x v="3"/>
    <n v="483"/>
    <s v="60 dias"/>
    <n v="14667.75"/>
  </r>
  <r>
    <x v="2"/>
    <m/>
    <s v="Proc. n.º 230 / DRCN / 2022"/>
    <s v="Carla Cruz"/>
    <s v="Proc. 230/2022 - Igreja de São Miguel do Castelo - Empreitada de Reabilitação do Edifício e Proteção das Pedras Tumulares"/>
    <n v="1595328"/>
    <d v="2022-07-26T00:00:00"/>
    <x v="3"/>
    <s v="artigo 19º al. c)"/>
    <s v="45453000-7-Obras de revisão e recuperação"/>
    <x v="9"/>
    <s v="BE42200657"/>
    <d v="2022-08-12T00:00:00"/>
    <d v="2022-08-29T00:00:00"/>
    <n v="1624477"/>
    <s v="BE52200952"/>
    <d v="2022-11-07T00:00:00"/>
    <n v="77515.23"/>
    <x v="10"/>
    <n v="42"/>
    <d v="2022-11-17T00:00:00"/>
    <n v="9600888"/>
    <d v="2022-12-05T00:00:00"/>
    <m/>
    <x v="1"/>
    <n v="483"/>
    <s v="120 dias"/>
    <n v="68509.069999999992"/>
  </r>
  <r>
    <x v="2"/>
    <m/>
    <s v="Proc. n.º 90 / DRCN / 2023"/>
    <s v="Carla Cruz"/>
    <s v="Proc. 90/2023 - Igreja de São Miguel do Castelo - Empreitada de desmontagem e remontagem do altar de pedra"/>
    <n v="1655597"/>
    <d v="2023-03-02T00:00:00"/>
    <x v="1"/>
    <s v="Aj Simpl. Art128.º 19.º d) &lt;10.000€"/>
    <s v="45453000-7-Obras de revisão e recuperação"/>
    <x v="9"/>
    <s v="BE42300220"/>
    <d v="2023-03-08T00:00:00"/>
    <m/>
    <n v="1655597"/>
    <s v="BE52300206"/>
    <d v="2023-03-09T00:00:00"/>
    <n v="4999"/>
    <x v="11"/>
    <s v="n.a."/>
    <s v="n.a."/>
    <s v="n.a."/>
    <s v="n.a."/>
    <s v="enviada notificação de adjudicação em 09/03/2023"/>
    <x v="1"/>
    <s v="483 e 484"/>
    <s v="20 dias"/>
    <m/>
  </r>
  <r>
    <x v="2"/>
    <m/>
    <s v="Proc. n.º 230 / DRCN / 2022"/>
    <s v="Carla Cruz"/>
    <s v="Proc. 230/2022 - Igreja de São Miguel do Castelo - Empreitada de Reabilitação do Edifício e Proteção das Pedras Tumulares - TRABALHOS COMPLEMENTARES"/>
    <n v="1671053"/>
    <d v="2023-05-10T00:00:00"/>
    <x v="3"/>
    <s v="artigo 20º nº1 al. c)"/>
    <s v="45453000-7-Obras de revisão e recuperação"/>
    <x v="9"/>
    <s v="BE42300498"/>
    <d v="2023-06-09T00:00:00"/>
    <m/>
    <n v="1671053"/>
    <s v="BE52300489"/>
    <d v="2023-06-13T00:00:00"/>
    <n v="7437.28"/>
    <x v="12"/>
    <s v="Adenda ao contrato 42"/>
    <d v="2023-06-15T00:00:00"/>
    <n v="12361923"/>
    <d v="2023-06-20T00:00:00"/>
    <m/>
    <x v="2"/>
    <s v="483 e 484"/>
    <m/>
    <m/>
  </r>
  <r>
    <x v="3"/>
    <n v="165000"/>
    <s v="Proc. n.º 146 / DRCN / 2022"/>
    <s v="Isabel Sereno"/>
    <s v=" Museu Alberto Sampaio, Guimarães- Projeto geral de reabilitação do claustro- Pedido de abertura de procedimento por ajuste direto geral-DRCN-DSBC-DO/2022/18-20/56 com cs 124526"/>
    <n v="1579619"/>
    <d v="2022-03-25T00:00:00"/>
    <x v="0"/>
    <s v="artigo 20º nº1 al. d)"/>
    <s v="71000000-8-Serviços de arquitetura, construção, engenharia e inspeção"/>
    <x v="10"/>
    <s v="BE42200504"/>
    <d v="2022-06-07T00:00:00"/>
    <d v="2022-06-08T00:00:00"/>
    <n v="1601691"/>
    <s v="BE52200554"/>
    <d v="2022-07-19T00:00:00"/>
    <n v="19900"/>
    <x v="13"/>
    <n v="24"/>
    <d v="2022-08-16T00:00:00"/>
    <n v="9414242"/>
    <d v="2022-08-17T00:00:00"/>
    <m/>
    <x v="0"/>
    <n v="483"/>
    <s v="120 dias"/>
    <n v="22029.3"/>
  </r>
  <r>
    <x v="4"/>
    <n v="1408000"/>
    <s v="Proc. n.º 122 / DRCN / 2022"/>
    <s v="Agostinho Costa"/>
    <s v="Levantamento e diagnóstico das chaminés e coberturas do Paço dos Duques"/>
    <n v="1576439"/>
    <d v="2022-03-15T00:00:00"/>
    <x v="0"/>
    <s v="artigo 20º nº1 al. d)"/>
    <s v="71240000-2 Serviços de arquitetura, engenharia e planeamento"/>
    <x v="11"/>
    <s v="BE42200339"/>
    <d v="2022-04-11T00:00:00"/>
    <d v="2022-04-18T00:00:00"/>
    <n v="1585752"/>
    <s v="BE52200394"/>
    <d v="2022-05-06T00:00:00"/>
    <n v="9950"/>
    <x v="14"/>
    <s v="n.a."/>
    <s v="n.a."/>
    <n v="9334498"/>
    <d v="2022-07-04T00:00:00"/>
    <s v="enviada notificação de adjudicação em 06/05/2022"/>
    <x v="3"/>
    <n v="483"/>
    <s v="90 dias"/>
    <n v="12238.5"/>
  </r>
  <r>
    <x v="4"/>
    <m/>
    <s v="Proc. n.º 152 / DRCN / 2022"/>
    <s v="Agostinho Costa"/>
    <s v="Projeto de Eletricidade, Telecomunicações e Segurança Ativa – _x000a_Paço dos Duques de Bragança, Guimarães, no âmbito do investimento do Plano de Recuperação e Resiliência._x000a_"/>
    <n v="1580640"/>
    <d v="2022-03-30T00:00:00"/>
    <x v="3"/>
    <s v="artigo 20º nº1 al. c)"/>
    <s v="71240000-2 Serviços de arquitetura, engenharia e planeamento"/>
    <x v="12"/>
    <s v="BE42200318"/>
    <d v="2022-04-06T00:00:00"/>
    <d v="2022-04-19T00:00:00"/>
    <n v="1589803"/>
    <s v="BE52200484"/>
    <d v="2022-06-03T00:00:00"/>
    <n v="27000"/>
    <x v="15"/>
    <n v="11"/>
    <d v="2022-07-01T00:00:00"/>
    <n v="9381671"/>
    <d v="2022-07-22T00:00:00"/>
    <m/>
    <x v="0"/>
    <n v="483"/>
    <s v="90 dias"/>
    <n v="332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agamentos por Projeto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:B7" firstHeaderRow="1" firstDataRow="1" firstDataCol="1"/>
  <pivotFields count="29">
    <pivotField axis="axisRow" showAll="0">
      <items count="6">
        <item x="0"/>
        <item x="1"/>
        <item x="2"/>
        <item x="3"/>
        <item x="4"/>
        <item t="default"/>
      </items>
    </pivotField>
    <pivotField numFmtId="44" showAll="0" defaultSubtotal="0"/>
    <pivotField showAll="0"/>
    <pivotField showAll="0"/>
    <pivotField showAll="0"/>
    <pivotField showAll="0"/>
    <pivotField numFmtId="14" showAll="0"/>
    <pivotField showAll="0">
      <items count="7">
        <item x="0"/>
        <item m="1" x="5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numFmtId="14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>
      <items count="6">
        <item x="0"/>
        <item x="3"/>
        <item x="2"/>
        <item x="1"/>
        <item m="1" x="4"/>
        <item t="default"/>
      </items>
    </pivotField>
    <pivotField showAll="0"/>
    <pivotField showAll="0"/>
    <pivotField dataField="1" numFmtId="164" showAll="0"/>
    <pivotField dragToRow="0" dragToCol="0" dragToPage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Pagamentos 2022" fld="27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Contratação por Projeto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:B7" firstHeaderRow="1" firstDataRow="1" firstDataCol="1"/>
  <pivotFields count="29">
    <pivotField axis="axisRow" showAll="0">
      <items count="6">
        <item x="0"/>
        <item x="1"/>
        <item x="2"/>
        <item x="3"/>
        <item x="4"/>
        <item t="default"/>
      </items>
    </pivotField>
    <pivotField numFmtId="44" showAll="0" defaultSubtotal="0"/>
    <pivotField showAll="0"/>
    <pivotField showAll="0"/>
    <pivotField showAll="0"/>
    <pivotField showAll="0"/>
    <pivotField numFmtId="14" showAll="0"/>
    <pivotField showAll="0">
      <items count="7">
        <item x="0"/>
        <item m="1" x="5"/>
        <item x="1"/>
        <item x="2"/>
        <item x="3"/>
        <item m="1" x="4"/>
        <item t="default"/>
      </items>
    </pivotField>
    <pivotField showAll="0"/>
    <pivotField showAll="0"/>
    <pivotField showAll="0">
      <items count="14">
        <item x="0"/>
        <item x="5"/>
        <item x="3"/>
        <item x="8"/>
        <item x="1"/>
        <item x="9"/>
        <item x="6"/>
        <item x="2"/>
        <item x="4"/>
        <item x="10"/>
        <item x="12"/>
        <item x="11"/>
        <item x="7"/>
        <item t="default"/>
      </items>
    </pivotField>
    <pivotField showAll="0"/>
    <pivotField numFmtId="14" showAll="0"/>
    <pivotField showAll="0"/>
    <pivotField showAll="0"/>
    <pivotField showAll="0"/>
    <pivotField numFmtId="14" showAll="0"/>
    <pivotField numFmtId="164" showAll="0"/>
    <pivotField dataField="1" numFmtId="164" showAll="0">
      <items count="17">
        <item x="6"/>
        <item x="1"/>
        <item x="11"/>
        <item x="5"/>
        <item x="8"/>
        <item x="4"/>
        <item x="12"/>
        <item x="2"/>
        <item x="0"/>
        <item x="14"/>
        <item x="9"/>
        <item x="13"/>
        <item x="15"/>
        <item x="10"/>
        <item x="3"/>
        <item x="7"/>
        <item t="default"/>
      </items>
    </pivotField>
    <pivotField showAll="0"/>
    <pivotField showAll="0"/>
    <pivotField showAll="0"/>
    <pivotField showAll="0"/>
    <pivotField showAll="0"/>
    <pivotField showAll="0">
      <items count="6">
        <item x="0"/>
        <item x="3"/>
        <item x="2"/>
        <item x="1"/>
        <item m="1" x="4"/>
        <item t="default"/>
      </items>
    </pivotField>
    <pivotField showAll="0"/>
    <pivotField showAll="0"/>
    <pivotField numFmtId="164" showAll="0"/>
    <pivotField dragToRow="0" dragToCol="0" dragToPage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Valor (c/IVA)" fld="18" baseField="0" baseItem="507029816"/>
  </dataFields>
  <chartFormats count="2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Contagem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:C3" firstHeaderRow="0" firstDataRow="1" firstDataCol="0"/>
  <pivotFields count="29">
    <pivotField showAll="0">
      <items count="6">
        <item x="0"/>
        <item x="1"/>
        <item x="2"/>
        <item x="3"/>
        <item x="4"/>
        <item t="default"/>
      </items>
    </pivotField>
    <pivotField numFmtId="44" showAll="0" defaultSubtotal="0"/>
    <pivotField showAll="0"/>
    <pivotField showAll="0"/>
    <pivotField showAll="0"/>
    <pivotField showAll="0"/>
    <pivotField numFmtId="14" showAll="0"/>
    <pivotField dataField="1" showAll="0">
      <items count="7">
        <item x="0"/>
        <item m="1" x="5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numFmtId="1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>
      <items count="6">
        <item x="0"/>
        <item x="3"/>
        <item x="2"/>
        <item x="1"/>
        <item m="1" x="4"/>
        <item t="default"/>
      </items>
    </pivotField>
    <pivotField showAll="0"/>
    <pivotField showAll="0"/>
    <pivotField dataField="1" numFmtId="164" showAll="0"/>
    <pivotField dragToRow="0" dragToCol="0" dragToPage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Contagem de Tipo de procedimento" fld="7" subtotal="count" baseField="0" baseItem="0"/>
    <dataField name="Soma de Valor (c/IVA)" fld="18" baseField="0" baseItem="1" numFmtId="164"/>
    <dataField name="Soma de Pagamentos 2022" fld="27" baseField="0" baseItem="1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Contrato FSG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9" firstHeaderRow="0" firstDataRow="1" firstDataCol="1"/>
  <pivotFields count="29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>
      <items count="7">
        <item x="0"/>
        <item m="1" x="5"/>
        <item x="1"/>
        <item x="2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>
      <items count="6">
        <item x="0"/>
        <item x="3"/>
        <item x="2"/>
        <item x="1"/>
        <item m="1" x="4"/>
        <item t="default"/>
      </items>
    </pivotField>
    <pivotField showAll="0"/>
    <pivotField showAll="0"/>
    <pivotField showAll="0"/>
    <pivotField dragToRow="0" dragToCol="0" dragToPage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alor Contrato FSG" fld="1" baseField="0" baseItem="0"/>
    <dataField name="Soma de Valor (s/IVA)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Projeto" sourceName="Projeto">
  <pivotTables>
    <pivotTable tabId="30" name="Contratação por Projeto"/>
    <pivotTable tabId="29" name="Contagem"/>
    <pivotTable tabId="31" name="Pagamentos por Projeto"/>
    <pivotTable tabId="34" name="Contrato FSG"/>
  </pivotTables>
  <data>
    <tabular pivotCacheId="4">
      <items count="5">
        <i x="0" s="1"/>
        <i x="1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Tipo_de_procedimento" sourceName="Tipo de procedimento">
  <pivotTables>
    <pivotTable tabId="30" name="Contratação por Projeto"/>
    <pivotTable tabId="29" name="Contagem"/>
    <pivotTable tabId="31" name="Pagamentos por Projeto"/>
    <pivotTable tabId="34" name="Contrato FSG"/>
  </pivotTables>
  <data>
    <tabular pivotCacheId="4">
      <items count="6">
        <i x="0" s="1"/>
        <i x="1" s="1"/>
        <i x="2" s="1"/>
        <i x="3" s="1"/>
        <i x="5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Entidade" sourceName="Entidade">
  <pivotTables>
    <pivotTable tabId="30" name="Contratação por Projeto"/>
  </pivotTables>
  <data>
    <tabular pivotCacheId="4">
      <items count="13">
        <i x="0" s="1"/>
        <i x="5" s="1"/>
        <i x="3" s="1"/>
        <i x="8" s="1"/>
        <i x="1" s="1"/>
        <i x="9" s="1"/>
        <i x="6" s="1"/>
        <i x="2" s="1"/>
        <i x="4" s="1"/>
        <i x="10" s="1"/>
        <i x="12" s="1"/>
        <i x="11" s="1"/>
        <i x="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E" sourceName="CE">
  <pivotTables>
    <pivotTable tabId="30" name="Contratação por Projeto"/>
    <pivotTable tabId="31" name="Pagamentos por Projeto"/>
    <pivotTable tabId="29" name="Contagem"/>
    <pivotTable tabId="34" name="Contrato FSG"/>
  </pivotTables>
  <data>
    <tabular pivotCacheId="4" showMissing="0">
      <items count="5">
        <i x="0" s="1"/>
        <i x="3" s="1"/>
        <i x="2" s="1"/>
        <i x="1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jeto 1" cache="SegmentaçãoDeDados_Projeto" caption="Projeto" rowHeight="241300"/>
  <slicer name="Tipo de procedimento 1" cache="SegmentaçãoDeDados_Tipo_de_procedimento" caption="Tipo de procedimento" rowHeight="241300"/>
  <slicer name="CE 1" cache="SegmentaçãoDeDados_CE" caption="C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jeto" cache="SegmentaçãoDeDados_Projeto" caption="Projeto" rowHeight="241300"/>
  <slicer name="Tipo de procedimento" cache="SegmentaçãoDeDados_Tipo_de_procedimento" caption="Tipo de procedimento" rowHeight="241300"/>
  <slicer name="Entidade" cache="SegmentaçãoDeDados_Entidade" caption="Entidade" rowHeight="241300"/>
  <slicer name="CE" cache="SegmentaçãoDeDados_CE" caption="CE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29"/>
  <sheetViews>
    <sheetView showGridLines="0" zoomScaleNormal="100" workbookViewId="0">
      <selection activeCell="E31" sqref="E31"/>
    </sheetView>
  </sheetViews>
  <sheetFormatPr defaultRowHeight="15" x14ac:dyDescent="0.25"/>
  <cols>
    <col min="1" max="1" width="39.42578125" customWidth="1"/>
    <col min="3" max="3" width="14.140625" customWidth="1"/>
    <col min="4" max="4" width="11" customWidth="1"/>
    <col min="7" max="7" width="30.42578125" customWidth="1"/>
    <col min="14" max="14" width="6.7109375" customWidth="1"/>
    <col min="15" max="15" width="26.140625" customWidth="1"/>
    <col min="19" max="19" width="27.42578125" customWidth="1"/>
  </cols>
  <sheetData>
    <row r="1" spans="1:18" ht="28.5" customHeight="1" x14ac:dyDescent="0.25">
      <c r="A1" s="125"/>
      <c r="B1" s="150" t="s">
        <v>180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26"/>
      <c r="P1" s="126"/>
      <c r="Q1" s="122"/>
      <c r="R1" s="122"/>
    </row>
    <row r="2" spans="1:18" ht="15.75" x14ac:dyDescent="0.25">
      <c r="A2" s="125"/>
      <c r="B2" s="125"/>
      <c r="C2" s="125"/>
      <c r="D2" s="125"/>
      <c r="E2" s="125"/>
      <c r="F2" s="125"/>
      <c r="G2" s="148">
        <v>45107</v>
      </c>
      <c r="H2" s="125"/>
      <c r="I2" s="125"/>
      <c r="J2" s="125"/>
      <c r="K2" s="125"/>
      <c r="L2" s="125"/>
      <c r="M2" s="125"/>
      <c r="N2" s="125"/>
      <c r="O2" s="125"/>
      <c r="P2" s="125"/>
    </row>
    <row r="3" spans="1:18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8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8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9" t="s">
        <v>181</v>
      </c>
      <c r="P5" s="125"/>
    </row>
    <row r="6" spans="1:18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49"/>
      <c r="P6" s="125"/>
    </row>
    <row r="7" spans="1:18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38">
        <f>GETPIVOTDATA("Soma de Valor (s/IVA)",'Contrato FSG'!A3)/GETPIVOTDATA("Soma de Valor Contrato FSG",'Contrato FSG'!A3)</f>
        <v>0.1793552118797537</v>
      </c>
      <c r="P7" s="125"/>
    </row>
    <row r="8" spans="1:18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</row>
    <row r="9" spans="1:18" x14ac:dyDescent="0.2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49" t="s">
        <v>174</v>
      </c>
      <c r="P9" s="125"/>
    </row>
    <row r="10" spans="1:18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49"/>
      <c r="P10" s="125"/>
    </row>
    <row r="11" spans="1:18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38">
        <f>(GETPIVOTDATA("Soma de Pagamentos 2022",Contagem!$A$3))/(GETPIVOTDATA("Soma de Valor (c/IVA)",Contagem!$A$3))</f>
        <v>0.36443917865503533</v>
      </c>
      <c r="P11" s="125"/>
    </row>
    <row r="12" spans="1:18" x14ac:dyDescent="0.2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8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49" t="s">
        <v>172</v>
      </c>
      <c r="P13" s="125"/>
    </row>
    <row r="14" spans="1:18" x14ac:dyDescent="0.2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49"/>
      <c r="P14" s="125"/>
    </row>
    <row r="15" spans="1:18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4">
        <f>GETPIVOTDATA("Soma de Valor (c/IVA)",Contagem!$A$3)</f>
        <v>542412.37379999994</v>
      </c>
      <c r="P15" s="125"/>
    </row>
    <row r="16" spans="1:18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</row>
    <row r="17" spans="1:16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49" t="s">
        <v>175</v>
      </c>
      <c r="P17" s="125"/>
    </row>
    <row r="18" spans="1:16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49"/>
      <c r="P18" s="125"/>
    </row>
    <row r="19" spans="1:16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4">
        <f>GETPIVOTDATA("Soma de Pagamentos 2022",Contagem!$A$3)</f>
        <v>197676.31999999998</v>
      </c>
      <c r="P19" s="125"/>
    </row>
    <row r="20" spans="1:16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16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49" t="s">
        <v>171</v>
      </c>
      <c r="P21" s="125"/>
    </row>
    <row r="22" spans="1:16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49"/>
      <c r="P22" s="125"/>
    </row>
    <row r="23" spans="1:16" x14ac:dyDescent="0.2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3">
        <f>GETPIVOTDATA("Contagem de Tipo de Procedimento",Contagem!$A$3)-1</f>
        <v>15</v>
      </c>
      <c r="P23" s="125"/>
    </row>
    <row r="24" spans="1:16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x14ac:dyDescent="0.2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x14ac:dyDescent="0.2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</sheetData>
  <sheetProtection algorithmName="SHA-512" hashValue="Um8XnWZTWHeJwTp/Q1Eoaqj1liRoTLe8hnVa1vsZ9LgSak0rCIFnSy/XoqowuSKYpNakk6gYj72KtUV8h4xZGQ==" saltValue="sx2jT7BfOqXGLcBKAWDTyQ==" spinCount="100000" sheet="1" objects="1" scenarios="1" selectLockedCells="1" selectUnlockedCells="1"/>
  <mergeCells count="6">
    <mergeCell ref="O21:O22"/>
    <mergeCell ref="B1:N1"/>
    <mergeCell ref="O5:O6"/>
    <mergeCell ref="O9:O10"/>
    <mergeCell ref="O13:O14"/>
    <mergeCell ref="O17:O1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"/>
  <sheetViews>
    <sheetView topLeftCell="E1" workbookViewId="0">
      <selection activeCell="P9" sqref="P9"/>
    </sheetView>
  </sheetViews>
  <sheetFormatPr defaultRowHeight="15" x14ac:dyDescent="0.25"/>
  <cols>
    <col min="1" max="1" width="22.140625" customWidth="1"/>
    <col min="2" max="2" width="23.140625" customWidth="1"/>
    <col min="3" max="3" width="48.140625" customWidth="1"/>
    <col min="4" max="4" width="14.7109375" customWidth="1"/>
    <col min="5" max="5" width="13.5703125" customWidth="1"/>
    <col min="6" max="6" width="16.42578125" customWidth="1"/>
    <col min="7" max="7" width="15.5703125" customWidth="1"/>
    <col min="8" max="8" width="16.7109375" customWidth="1"/>
    <col min="9" max="9" width="21.7109375" customWidth="1"/>
    <col min="10" max="10" width="17.85546875" customWidth="1"/>
    <col min="11" max="11" width="14" customWidth="1"/>
    <col min="12" max="13" width="14.42578125" customWidth="1"/>
    <col min="14" max="14" width="13.5703125" customWidth="1"/>
    <col min="15" max="16" width="15.85546875" customWidth="1"/>
    <col min="17" max="17" width="17.85546875" customWidth="1"/>
    <col min="18" max="18" width="12.85546875" customWidth="1"/>
    <col min="19" max="19" width="11.7109375" customWidth="1"/>
    <col min="20" max="20" width="14.7109375" customWidth="1"/>
    <col min="21" max="21" width="14.85546875" customWidth="1"/>
    <col min="22" max="22" width="17.28515625" customWidth="1"/>
    <col min="25" max="25" width="13.7109375" customWidth="1"/>
    <col min="26" max="26" width="14.28515625" customWidth="1"/>
  </cols>
  <sheetData>
    <row r="1" spans="1:26" ht="66" x14ac:dyDescent="0.25">
      <c r="A1" s="2" t="s">
        <v>5</v>
      </c>
      <c r="B1" s="2" t="s">
        <v>6</v>
      </c>
      <c r="C1" s="2" t="s">
        <v>7</v>
      </c>
      <c r="D1" s="2" t="s">
        <v>154</v>
      </c>
      <c r="E1" s="2" t="s">
        <v>155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71</v>
      </c>
      <c r="N1" s="2" t="s">
        <v>156</v>
      </c>
      <c r="O1" s="2" t="s">
        <v>15</v>
      </c>
      <c r="P1" s="2" t="s">
        <v>150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7" t="s">
        <v>3</v>
      </c>
      <c r="X1" s="17" t="s">
        <v>4</v>
      </c>
      <c r="Y1" s="17" t="s">
        <v>84</v>
      </c>
      <c r="Z1" s="17" t="s">
        <v>152</v>
      </c>
    </row>
    <row r="2" spans="1:26" ht="67.5" customHeight="1" x14ac:dyDescent="0.25">
      <c r="A2" s="6" t="s">
        <v>22</v>
      </c>
      <c r="B2" s="4" t="s">
        <v>23</v>
      </c>
      <c r="C2" s="5" t="s">
        <v>117</v>
      </c>
      <c r="D2" s="4">
        <v>1577019</v>
      </c>
      <c r="E2" s="8">
        <v>44636</v>
      </c>
      <c r="F2" s="9" t="s">
        <v>24</v>
      </c>
      <c r="G2" s="9" t="s">
        <v>49</v>
      </c>
      <c r="H2" s="4" t="s">
        <v>46</v>
      </c>
      <c r="I2" s="4" t="s">
        <v>25</v>
      </c>
      <c r="J2" s="4" t="s">
        <v>27</v>
      </c>
      <c r="K2" s="8">
        <v>44662</v>
      </c>
      <c r="L2" s="8">
        <v>44670</v>
      </c>
      <c r="M2" s="19">
        <v>1586371</v>
      </c>
      <c r="N2" s="4" t="s">
        <v>26</v>
      </c>
      <c r="O2" s="8">
        <v>44691</v>
      </c>
      <c r="P2" s="7">
        <f>+Q2/1.23</f>
        <v>8700</v>
      </c>
      <c r="Q2" s="7">
        <v>10701</v>
      </c>
      <c r="R2" s="4" t="s">
        <v>70</v>
      </c>
      <c r="S2" s="4" t="s">
        <v>70</v>
      </c>
      <c r="T2" s="4">
        <v>9321807</v>
      </c>
      <c r="U2" s="8">
        <v>44735</v>
      </c>
      <c r="V2" s="4"/>
      <c r="W2" s="18" t="s">
        <v>0</v>
      </c>
      <c r="X2" s="4">
        <v>483</v>
      </c>
      <c r="Y2" s="4" t="s">
        <v>100</v>
      </c>
      <c r="Z2" s="7">
        <f>+Q2</f>
        <v>10701</v>
      </c>
    </row>
    <row r="3" spans="1:26" ht="40.5" x14ac:dyDescent="0.25">
      <c r="A3" s="3" t="s">
        <v>59</v>
      </c>
      <c r="B3" s="10" t="s">
        <v>23</v>
      </c>
      <c r="C3" s="5" t="s">
        <v>60</v>
      </c>
      <c r="D3" s="4">
        <v>1588024</v>
      </c>
      <c r="E3" s="8">
        <v>44684</v>
      </c>
      <c r="F3" s="4" t="s">
        <v>41</v>
      </c>
      <c r="G3" s="4" t="s">
        <v>50</v>
      </c>
      <c r="H3" s="4" t="s">
        <v>61</v>
      </c>
      <c r="I3" s="4" t="s">
        <v>62</v>
      </c>
      <c r="J3" s="4" t="s">
        <v>63</v>
      </c>
      <c r="K3" s="8">
        <v>44711</v>
      </c>
      <c r="L3" s="4" t="s">
        <v>70</v>
      </c>
      <c r="M3" s="4">
        <v>1588024</v>
      </c>
      <c r="N3" s="4" t="s">
        <v>64</v>
      </c>
      <c r="O3" s="8">
        <v>44713</v>
      </c>
      <c r="P3" s="7">
        <f>+Q3/1.06</f>
        <v>4710</v>
      </c>
      <c r="Q3" s="7">
        <v>4992.6000000000004</v>
      </c>
      <c r="R3" s="4" t="s">
        <v>70</v>
      </c>
      <c r="S3" s="4" t="s">
        <v>70</v>
      </c>
      <c r="T3" s="4" t="s">
        <v>70</v>
      </c>
      <c r="U3" s="4" t="s">
        <v>70</v>
      </c>
      <c r="V3" s="4" t="s">
        <v>76</v>
      </c>
      <c r="W3" s="18" t="s">
        <v>2</v>
      </c>
      <c r="X3" s="4">
        <v>483</v>
      </c>
      <c r="Y3" s="4" t="s">
        <v>99</v>
      </c>
      <c r="Z3" s="7">
        <f>+Q3</f>
        <v>4992.6000000000004</v>
      </c>
    </row>
    <row r="4" spans="1:26" ht="54" x14ac:dyDescent="0.25">
      <c r="A4" s="3" t="s">
        <v>72</v>
      </c>
      <c r="B4" s="10" t="s">
        <v>23</v>
      </c>
      <c r="C4" s="5" t="s">
        <v>73</v>
      </c>
      <c r="D4" s="4">
        <v>1590287</v>
      </c>
      <c r="E4" s="8">
        <v>44692</v>
      </c>
      <c r="F4" s="9" t="s">
        <v>24</v>
      </c>
      <c r="G4" s="9" t="s">
        <v>49</v>
      </c>
      <c r="H4" s="4" t="s">
        <v>46</v>
      </c>
      <c r="I4" s="4" t="s">
        <v>74</v>
      </c>
      <c r="J4" s="4" t="s">
        <v>75</v>
      </c>
      <c r="K4" s="8">
        <v>44707</v>
      </c>
      <c r="L4" s="8">
        <v>44712</v>
      </c>
      <c r="M4" s="4">
        <v>1595623</v>
      </c>
      <c r="N4" s="4" t="s">
        <v>80</v>
      </c>
      <c r="O4" s="8">
        <v>44750</v>
      </c>
      <c r="P4" s="7">
        <f>+Q4/1.23</f>
        <v>7500</v>
      </c>
      <c r="Q4" s="7">
        <f>7500*1.23</f>
        <v>9225</v>
      </c>
      <c r="R4" s="4" t="s">
        <v>70</v>
      </c>
      <c r="S4" s="4" t="s">
        <v>70</v>
      </c>
      <c r="T4" s="4">
        <v>9382116</v>
      </c>
      <c r="U4" s="8">
        <v>44764</v>
      </c>
      <c r="V4" s="4" t="s">
        <v>85</v>
      </c>
      <c r="W4" s="18" t="s">
        <v>0</v>
      </c>
      <c r="X4" s="4">
        <v>483</v>
      </c>
      <c r="Y4" s="4" t="s">
        <v>98</v>
      </c>
      <c r="Z4" s="7">
        <f>+Q4</f>
        <v>9225</v>
      </c>
    </row>
    <row r="5" spans="1:26" ht="81" x14ac:dyDescent="0.25">
      <c r="A5" s="4" t="s">
        <v>200</v>
      </c>
      <c r="B5" s="10" t="s">
        <v>23</v>
      </c>
      <c r="C5" s="5" t="s">
        <v>201</v>
      </c>
      <c r="D5" s="4">
        <v>1607992</v>
      </c>
      <c r="E5" s="16">
        <v>44911</v>
      </c>
      <c r="F5" s="134" t="s">
        <v>202</v>
      </c>
      <c r="G5" s="9" t="s">
        <v>203</v>
      </c>
      <c r="H5" s="4" t="s">
        <v>204</v>
      </c>
      <c r="I5" s="4" t="s">
        <v>212</v>
      </c>
      <c r="J5" s="4" t="s">
        <v>205</v>
      </c>
      <c r="K5" s="8">
        <v>44960</v>
      </c>
      <c r="L5" s="4" t="s">
        <v>70</v>
      </c>
      <c r="M5" s="4" t="s">
        <v>213</v>
      </c>
      <c r="N5" s="4" t="s">
        <v>214</v>
      </c>
      <c r="O5" s="8" t="s">
        <v>215</v>
      </c>
      <c r="P5" s="7">
        <f>247783.88+49809.35</f>
        <v>297593.23</v>
      </c>
      <c r="Q5" s="7">
        <f>262650.91+52797.91</f>
        <v>315448.81999999995</v>
      </c>
      <c r="R5" s="4" t="s">
        <v>216</v>
      </c>
      <c r="S5" s="8">
        <v>45072</v>
      </c>
      <c r="T5" s="4" t="s">
        <v>223</v>
      </c>
      <c r="U5" s="8">
        <v>45100</v>
      </c>
      <c r="V5" s="4" t="s">
        <v>218</v>
      </c>
      <c r="W5" s="18" t="s">
        <v>2</v>
      </c>
      <c r="X5" s="4" t="s">
        <v>198</v>
      </c>
      <c r="Y5" s="4" t="s">
        <v>217</v>
      </c>
      <c r="Z5" s="7"/>
    </row>
    <row r="9" spans="1:26" x14ac:dyDescent="0.25">
      <c r="P9" s="1"/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"/>
  <sheetViews>
    <sheetView workbookViewId="0">
      <selection activeCell="M6" sqref="M6"/>
    </sheetView>
  </sheetViews>
  <sheetFormatPr defaultRowHeight="15" x14ac:dyDescent="0.25"/>
  <cols>
    <col min="1" max="1" width="21.85546875" customWidth="1"/>
    <col min="3" max="3" width="47.7109375" customWidth="1"/>
    <col min="5" max="5" width="14.85546875" customWidth="1"/>
    <col min="6" max="6" width="17" customWidth="1"/>
    <col min="7" max="7" width="16.85546875" customWidth="1"/>
    <col min="8" max="8" width="18" customWidth="1"/>
    <col min="9" max="9" width="16" customWidth="1"/>
    <col min="10" max="10" width="16.5703125" customWidth="1"/>
    <col min="11" max="11" width="13.85546875" customWidth="1"/>
    <col min="12" max="12" width="10.5703125" customWidth="1"/>
    <col min="13" max="13" width="14.28515625" customWidth="1"/>
    <col min="14" max="14" width="14.5703125" customWidth="1"/>
    <col min="15" max="16" width="14.85546875" customWidth="1"/>
    <col min="17" max="17" width="15.7109375" customWidth="1"/>
    <col min="18" max="18" width="12.7109375" customWidth="1"/>
    <col min="19" max="19" width="12.5703125" customWidth="1"/>
    <col min="20" max="20" width="16.7109375" customWidth="1"/>
    <col min="21" max="21" width="14.140625" customWidth="1"/>
    <col min="22" max="22" width="17.5703125" customWidth="1"/>
    <col min="25" max="25" width="13" customWidth="1"/>
    <col min="26" max="26" width="13.28515625" customWidth="1"/>
  </cols>
  <sheetData>
    <row r="1" spans="1:26" ht="81.75" customHeight="1" x14ac:dyDescent="0.25">
      <c r="A1" s="2" t="s">
        <v>5</v>
      </c>
      <c r="B1" s="2" t="s">
        <v>6</v>
      </c>
      <c r="C1" s="2" t="s">
        <v>7</v>
      </c>
      <c r="D1" s="2" t="s">
        <v>154</v>
      </c>
      <c r="E1" s="2" t="s">
        <v>155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71</v>
      </c>
      <c r="N1" s="2" t="s">
        <v>156</v>
      </c>
      <c r="O1" s="2" t="s">
        <v>15</v>
      </c>
      <c r="P1" s="2" t="s">
        <v>150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7" t="s">
        <v>3</v>
      </c>
      <c r="X1" s="17" t="s">
        <v>4</v>
      </c>
      <c r="Y1" s="17" t="s">
        <v>84</v>
      </c>
      <c r="Z1" s="17" t="s">
        <v>152</v>
      </c>
    </row>
    <row r="2" spans="1:26" ht="59.25" customHeight="1" x14ac:dyDescent="0.25">
      <c r="A2" s="3" t="s">
        <v>32</v>
      </c>
      <c r="B2" s="4" t="s">
        <v>33</v>
      </c>
      <c r="C2" s="13" t="s">
        <v>34</v>
      </c>
      <c r="D2" s="4">
        <v>1564506</v>
      </c>
      <c r="E2" s="16">
        <v>44629</v>
      </c>
      <c r="F2" s="4" t="s">
        <v>24</v>
      </c>
      <c r="G2" s="9" t="s">
        <v>49</v>
      </c>
      <c r="H2" s="4" t="s">
        <v>79</v>
      </c>
      <c r="I2" s="4" t="s">
        <v>36</v>
      </c>
      <c r="J2" s="4" t="s">
        <v>38</v>
      </c>
      <c r="K2" s="8">
        <v>44677</v>
      </c>
      <c r="L2" s="4"/>
      <c r="M2" s="4">
        <v>1574925</v>
      </c>
      <c r="N2" s="4" t="s">
        <v>42</v>
      </c>
      <c r="O2" s="8">
        <v>44699</v>
      </c>
      <c r="P2" s="7">
        <f>+Q2/1.23</f>
        <v>6100</v>
      </c>
      <c r="Q2" s="7">
        <v>7503</v>
      </c>
      <c r="R2" s="4" t="s">
        <v>70</v>
      </c>
      <c r="S2" s="4" t="s">
        <v>70</v>
      </c>
      <c r="T2" s="4">
        <v>9339243</v>
      </c>
      <c r="U2" s="8">
        <v>44748</v>
      </c>
      <c r="V2" s="4"/>
      <c r="W2" s="18" t="s">
        <v>1</v>
      </c>
      <c r="X2" s="4">
        <v>483</v>
      </c>
      <c r="Y2" s="4" t="s">
        <v>95</v>
      </c>
      <c r="Z2" s="7">
        <f>+Q2</f>
        <v>7503</v>
      </c>
    </row>
    <row r="3" spans="1:26" ht="54.75" customHeight="1" x14ac:dyDescent="0.25">
      <c r="A3" s="3" t="s">
        <v>35</v>
      </c>
      <c r="B3" s="4" t="s">
        <v>33</v>
      </c>
      <c r="C3" s="13" t="s">
        <v>40</v>
      </c>
      <c r="D3" s="4">
        <v>1578438</v>
      </c>
      <c r="E3" s="16">
        <v>44643</v>
      </c>
      <c r="F3" s="4" t="s">
        <v>41</v>
      </c>
      <c r="G3" s="4" t="s">
        <v>52</v>
      </c>
      <c r="H3" s="4" t="s">
        <v>53</v>
      </c>
      <c r="I3" s="4" t="s">
        <v>37</v>
      </c>
      <c r="J3" s="4" t="s">
        <v>39</v>
      </c>
      <c r="K3" s="8">
        <v>44662</v>
      </c>
      <c r="L3" s="4"/>
      <c r="M3" s="4">
        <v>1578438</v>
      </c>
      <c r="N3" s="4" t="s">
        <v>43</v>
      </c>
      <c r="O3" s="8">
        <v>44664</v>
      </c>
      <c r="P3" s="7">
        <f t="shared" ref="P3:P4" si="0">+Q3/1.23</f>
        <v>4730</v>
      </c>
      <c r="Q3" s="7">
        <v>5817.9</v>
      </c>
      <c r="R3" s="4" t="s">
        <v>70</v>
      </c>
      <c r="S3" s="4" t="s">
        <v>70</v>
      </c>
      <c r="T3" s="4" t="s">
        <v>70</v>
      </c>
      <c r="U3" s="4" t="s">
        <v>70</v>
      </c>
      <c r="V3" s="4" t="s">
        <v>77</v>
      </c>
      <c r="W3" s="18" t="s">
        <v>0</v>
      </c>
      <c r="X3" s="4">
        <v>483</v>
      </c>
      <c r="Y3" s="4" t="s">
        <v>96</v>
      </c>
      <c r="Z3" s="7">
        <f>+Q3</f>
        <v>5817.9</v>
      </c>
    </row>
    <row r="4" spans="1:26" ht="40.5" x14ac:dyDescent="0.25">
      <c r="A4" s="3" t="s">
        <v>109</v>
      </c>
      <c r="B4" s="4" t="s">
        <v>33</v>
      </c>
      <c r="C4" s="13" t="s">
        <v>110</v>
      </c>
      <c r="D4" s="4">
        <v>1623347</v>
      </c>
      <c r="E4" s="16">
        <v>44853</v>
      </c>
      <c r="F4" s="4" t="s">
        <v>41</v>
      </c>
      <c r="G4" s="4" t="s">
        <v>52</v>
      </c>
      <c r="H4" s="4" t="s">
        <v>113</v>
      </c>
      <c r="I4" s="4" t="s">
        <v>114</v>
      </c>
      <c r="J4" s="4" t="s">
        <v>112</v>
      </c>
      <c r="K4" s="8">
        <v>44854</v>
      </c>
      <c r="L4" s="4"/>
      <c r="M4" s="4">
        <v>1623347</v>
      </c>
      <c r="N4" s="4" t="s">
        <v>111</v>
      </c>
      <c r="O4" s="8">
        <v>44858</v>
      </c>
      <c r="P4" s="7">
        <f t="shared" si="0"/>
        <v>2400</v>
      </c>
      <c r="Q4" s="7">
        <v>2952</v>
      </c>
      <c r="R4" s="4" t="s">
        <v>70</v>
      </c>
      <c r="S4" s="4" t="s">
        <v>70</v>
      </c>
      <c r="T4" s="4" t="s">
        <v>70</v>
      </c>
      <c r="U4" s="4" t="s">
        <v>70</v>
      </c>
      <c r="V4" s="4" t="s">
        <v>115</v>
      </c>
      <c r="W4" s="18" t="s">
        <v>1</v>
      </c>
      <c r="X4" s="4">
        <v>483</v>
      </c>
      <c r="Y4" s="4" t="s">
        <v>116</v>
      </c>
      <c r="Z4" s="7">
        <f>+Q4</f>
        <v>2952</v>
      </c>
    </row>
    <row r="5" spans="1:26" ht="27" x14ac:dyDescent="0.25">
      <c r="A5" s="4" t="s">
        <v>207</v>
      </c>
      <c r="B5" s="4" t="s">
        <v>33</v>
      </c>
      <c r="C5" s="147" t="s">
        <v>208</v>
      </c>
      <c r="D5" s="4">
        <v>1646051</v>
      </c>
      <c r="E5" s="16">
        <v>45012</v>
      </c>
      <c r="F5" s="4" t="s">
        <v>202</v>
      </c>
      <c r="G5" s="9" t="s">
        <v>203</v>
      </c>
      <c r="H5" s="4" t="s">
        <v>204</v>
      </c>
      <c r="I5" s="4"/>
      <c r="J5" s="4" t="s">
        <v>209</v>
      </c>
      <c r="K5" s="8">
        <v>45021</v>
      </c>
      <c r="L5" s="4"/>
      <c r="M5" s="4"/>
      <c r="N5" s="4"/>
      <c r="O5" s="8"/>
      <c r="P5" s="7"/>
      <c r="Q5" s="7"/>
      <c r="R5" s="4"/>
      <c r="S5" s="4"/>
      <c r="T5" s="4"/>
      <c r="U5" s="4"/>
      <c r="V5" s="4" t="s">
        <v>206</v>
      </c>
      <c r="W5" s="18" t="s">
        <v>2</v>
      </c>
      <c r="X5" s="4" t="s">
        <v>198</v>
      </c>
      <c r="Y5" s="4"/>
      <c r="Z5" s="7"/>
    </row>
    <row r="6" spans="1:26" x14ac:dyDescent="0.25">
      <c r="Q6" s="1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opLeftCell="I1" workbookViewId="0">
      <selection activeCell="P5" sqref="P5"/>
    </sheetView>
  </sheetViews>
  <sheetFormatPr defaultRowHeight="15" x14ac:dyDescent="0.25"/>
  <cols>
    <col min="1" max="1" width="20.85546875" customWidth="1"/>
    <col min="3" max="3" width="48.7109375" customWidth="1"/>
    <col min="4" max="4" width="14.140625" customWidth="1"/>
    <col min="5" max="5" width="14.5703125" customWidth="1"/>
    <col min="6" max="6" width="17.140625" customWidth="1"/>
    <col min="7" max="7" width="14.5703125" customWidth="1"/>
    <col min="8" max="8" width="13.85546875" customWidth="1"/>
    <col min="9" max="9" width="15" customWidth="1"/>
    <col min="10" max="10" width="16.85546875" customWidth="1"/>
    <col min="11" max="11" width="15.7109375" customWidth="1"/>
    <col min="12" max="12" width="10.5703125" customWidth="1"/>
    <col min="13" max="13" width="15.140625" customWidth="1"/>
    <col min="14" max="16" width="16" customWidth="1"/>
    <col min="17" max="17" width="17.42578125" customWidth="1"/>
    <col min="18" max="18" width="12.42578125" customWidth="1"/>
    <col min="19" max="19" width="13.85546875" customWidth="1"/>
    <col min="20" max="20" width="15.7109375" customWidth="1"/>
    <col min="21" max="21" width="15.5703125" customWidth="1"/>
    <col min="22" max="22" width="16.140625" customWidth="1"/>
    <col min="25" max="25" width="12.28515625" customWidth="1"/>
    <col min="26" max="26" width="15.5703125" customWidth="1"/>
  </cols>
  <sheetData>
    <row r="1" spans="1:26" ht="66" x14ac:dyDescent="0.25">
      <c r="A1" s="2" t="s">
        <v>5</v>
      </c>
      <c r="B1" s="2" t="s">
        <v>6</v>
      </c>
      <c r="C1" s="2" t="s">
        <v>7</v>
      </c>
      <c r="D1" s="2" t="s">
        <v>154</v>
      </c>
      <c r="E1" s="2" t="s">
        <v>155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71</v>
      </c>
      <c r="N1" s="2" t="s">
        <v>156</v>
      </c>
      <c r="O1" s="2" t="s">
        <v>15</v>
      </c>
      <c r="P1" s="2" t="s">
        <v>150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7" t="s">
        <v>3</v>
      </c>
      <c r="X1" s="17" t="s">
        <v>4</v>
      </c>
      <c r="Y1" s="17" t="s">
        <v>84</v>
      </c>
      <c r="Z1" s="17" t="s">
        <v>152</v>
      </c>
    </row>
    <row r="2" spans="1:26" ht="84" customHeight="1" x14ac:dyDescent="0.25">
      <c r="A2" s="3" t="s">
        <v>28</v>
      </c>
      <c r="B2" s="10" t="s">
        <v>23</v>
      </c>
      <c r="C2" s="11" t="s">
        <v>51</v>
      </c>
      <c r="D2" s="4">
        <v>1582996</v>
      </c>
      <c r="E2" s="12">
        <v>44659</v>
      </c>
      <c r="F2" s="4" t="s">
        <v>41</v>
      </c>
      <c r="G2" s="4" t="s">
        <v>50</v>
      </c>
      <c r="H2" s="4" t="s">
        <v>29</v>
      </c>
      <c r="I2" s="4" t="s">
        <v>25</v>
      </c>
      <c r="J2" s="4" t="s">
        <v>30</v>
      </c>
      <c r="K2" s="8">
        <v>44663</v>
      </c>
      <c r="L2" s="4"/>
      <c r="M2" s="4">
        <v>1582996</v>
      </c>
      <c r="N2" s="4" t="s">
        <v>31</v>
      </c>
      <c r="O2" s="8">
        <v>44664</v>
      </c>
      <c r="P2" s="7">
        <f>+Q2/1.23</f>
        <v>4740</v>
      </c>
      <c r="Q2" s="7">
        <v>5830.2</v>
      </c>
      <c r="R2" s="4" t="s">
        <v>70</v>
      </c>
      <c r="S2" s="4" t="s">
        <v>70</v>
      </c>
      <c r="T2" s="4" t="s">
        <v>70</v>
      </c>
      <c r="U2" s="4" t="s">
        <v>70</v>
      </c>
      <c r="V2" s="4" t="s">
        <v>77</v>
      </c>
      <c r="W2" s="18" t="s">
        <v>0</v>
      </c>
      <c r="X2" s="4">
        <v>483</v>
      </c>
      <c r="Y2" s="4" t="s">
        <v>94</v>
      </c>
      <c r="Z2" s="7">
        <f>+Q2</f>
        <v>5830.2</v>
      </c>
    </row>
    <row r="3" spans="1:26" ht="40.5" x14ac:dyDescent="0.25">
      <c r="A3" s="3" t="s">
        <v>86</v>
      </c>
      <c r="B3" s="10" t="s">
        <v>92</v>
      </c>
      <c r="C3" s="11" t="s">
        <v>87</v>
      </c>
      <c r="D3" s="4">
        <v>1595710</v>
      </c>
      <c r="E3" s="12">
        <v>44727</v>
      </c>
      <c r="F3" s="4" t="s">
        <v>88</v>
      </c>
      <c r="G3" s="9" t="s">
        <v>49</v>
      </c>
      <c r="H3" s="4" t="s">
        <v>89</v>
      </c>
      <c r="I3" s="4" t="s">
        <v>91</v>
      </c>
      <c r="J3" s="4" t="s">
        <v>90</v>
      </c>
      <c r="K3" s="8">
        <v>44727</v>
      </c>
      <c r="L3" s="8">
        <v>44767</v>
      </c>
      <c r="M3" s="4">
        <v>1612455</v>
      </c>
      <c r="N3" s="4" t="s">
        <v>105</v>
      </c>
      <c r="O3" s="8">
        <v>44816</v>
      </c>
      <c r="P3" s="7">
        <f t="shared" ref="P3" si="0">+Q3/1.23</f>
        <v>11925</v>
      </c>
      <c r="Q3" s="7">
        <v>14667.75</v>
      </c>
      <c r="R3" s="4">
        <v>31</v>
      </c>
      <c r="S3" s="8">
        <v>44855</v>
      </c>
      <c r="T3" s="4">
        <v>9539364</v>
      </c>
      <c r="U3" s="8">
        <v>44873</v>
      </c>
      <c r="V3" s="4"/>
      <c r="W3" s="18" t="s">
        <v>1</v>
      </c>
      <c r="X3" s="4">
        <v>483</v>
      </c>
      <c r="Y3" s="4" t="s">
        <v>96</v>
      </c>
      <c r="Z3" s="7">
        <f>+Q3</f>
        <v>14667.75</v>
      </c>
    </row>
    <row r="4" spans="1:26" ht="40.5" x14ac:dyDescent="0.25">
      <c r="A4" s="3" t="s">
        <v>101</v>
      </c>
      <c r="B4" s="10" t="s">
        <v>102</v>
      </c>
      <c r="C4" s="11" t="s">
        <v>103</v>
      </c>
      <c r="D4" s="4">
        <v>1595328</v>
      </c>
      <c r="E4" s="12">
        <v>44768</v>
      </c>
      <c r="F4" s="4" t="s">
        <v>67</v>
      </c>
      <c r="G4" s="9" t="s">
        <v>68</v>
      </c>
      <c r="H4" s="4" t="s">
        <v>106</v>
      </c>
      <c r="I4" s="4" t="s">
        <v>104</v>
      </c>
      <c r="J4" s="4" t="s">
        <v>107</v>
      </c>
      <c r="K4" s="8">
        <v>44785</v>
      </c>
      <c r="L4" s="8">
        <v>44802</v>
      </c>
      <c r="M4" s="4">
        <v>1624477</v>
      </c>
      <c r="N4" s="4" t="s">
        <v>108</v>
      </c>
      <c r="O4" s="8">
        <v>44872</v>
      </c>
      <c r="P4" s="7">
        <f>+Q4/1.06</f>
        <v>77515.23</v>
      </c>
      <c r="Q4" s="7">
        <f>77515.23*1.06</f>
        <v>82166.143800000005</v>
      </c>
      <c r="R4" s="4">
        <v>42</v>
      </c>
      <c r="S4" s="8">
        <v>44882</v>
      </c>
      <c r="T4" s="4">
        <v>9600888</v>
      </c>
      <c r="U4" s="8">
        <v>44900</v>
      </c>
      <c r="V4" s="4"/>
      <c r="W4" s="18" t="s">
        <v>2</v>
      </c>
      <c r="X4" s="4">
        <v>483</v>
      </c>
      <c r="Y4" s="4" t="s">
        <v>83</v>
      </c>
      <c r="Z4" s="7">
        <f>49692.81+18816.26</f>
        <v>68509.069999999992</v>
      </c>
    </row>
    <row r="5" spans="1:26" ht="40.5" x14ac:dyDescent="0.25">
      <c r="A5" s="4" t="s">
        <v>190</v>
      </c>
      <c r="B5" s="10" t="s">
        <v>102</v>
      </c>
      <c r="C5" s="11" t="s">
        <v>191</v>
      </c>
      <c r="D5" s="4">
        <v>1655597</v>
      </c>
      <c r="E5" s="12">
        <v>44987</v>
      </c>
      <c r="F5" s="4" t="s">
        <v>41</v>
      </c>
      <c r="G5" s="4" t="s">
        <v>50</v>
      </c>
      <c r="H5" s="4" t="s">
        <v>106</v>
      </c>
      <c r="I5" s="4" t="s">
        <v>104</v>
      </c>
      <c r="J5" s="4" t="s">
        <v>195</v>
      </c>
      <c r="K5" s="8">
        <v>44993</v>
      </c>
      <c r="L5" s="8"/>
      <c r="M5" s="4">
        <v>1655597</v>
      </c>
      <c r="N5" s="4" t="s">
        <v>196</v>
      </c>
      <c r="O5" s="8">
        <v>44994</v>
      </c>
      <c r="P5" s="7">
        <v>4999</v>
      </c>
      <c r="Q5" s="7">
        <f>+P5*1.06</f>
        <v>5298.9400000000005</v>
      </c>
      <c r="R5" s="4" t="s">
        <v>70</v>
      </c>
      <c r="S5" s="4" t="s">
        <v>70</v>
      </c>
      <c r="T5" s="4" t="s">
        <v>70</v>
      </c>
      <c r="U5" s="4" t="s">
        <v>70</v>
      </c>
      <c r="V5" s="4" t="s">
        <v>197</v>
      </c>
      <c r="W5" s="18" t="s">
        <v>169</v>
      </c>
      <c r="X5" s="4" t="s">
        <v>198</v>
      </c>
      <c r="Y5" s="4" t="s">
        <v>199</v>
      </c>
      <c r="Z5" s="7"/>
    </row>
    <row r="6" spans="1:26" ht="40.5" x14ac:dyDescent="0.25">
      <c r="A6" s="3" t="s">
        <v>101</v>
      </c>
      <c r="B6" s="10" t="s">
        <v>102</v>
      </c>
      <c r="C6" s="11" t="s">
        <v>219</v>
      </c>
      <c r="D6" s="4">
        <v>1671053</v>
      </c>
      <c r="E6" s="12">
        <v>45056</v>
      </c>
      <c r="F6" s="4" t="s">
        <v>67</v>
      </c>
      <c r="G6" s="9" t="s">
        <v>68</v>
      </c>
      <c r="H6" s="4" t="s">
        <v>106</v>
      </c>
      <c r="I6" s="4" t="s">
        <v>104</v>
      </c>
      <c r="J6" s="4" t="s">
        <v>220</v>
      </c>
      <c r="K6" s="8">
        <v>45086</v>
      </c>
      <c r="L6" s="8"/>
      <c r="M6" s="4">
        <v>1671053</v>
      </c>
      <c r="N6" s="4" t="s">
        <v>221</v>
      </c>
      <c r="O6" s="8">
        <v>45090</v>
      </c>
      <c r="P6" s="7">
        <v>7437.28</v>
      </c>
      <c r="Q6" s="7">
        <v>7883.52</v>
      </c>
      <c r="R6" s="4" t="s">
        <v>222</v>
      </c>
      <c r="S6" s="8">
        <v>45092</v>
      </c>
      <c r="T6" s="4">
        <v>12361923</v>
      </c>
      <c r="U6" s="8">
        <v>45097</v>
      </c>
      <c r="V6" s="4"/>
      <c r="W6" s="18" t="s">
        <v>2</v>
      </c>
      <c r="X6" s="4" t="s">
        <v>198</v>
      </c>
      <c r="Y6" s="4"/>
      <c r="Z6" s="7"/>
    </row>
    <row r="7" spans="1:26" x14ac:dyDescent="0.25">
      <c r="Q7" s="110"/>
    </row>
    <row r="8" spans="1:26" x14ac:dyDescent="0.25">
      <c r="Q8" s="110"/>
    </row>
    <row r="9" spans="1:26" x14ac:dyDescent="0.25">
      <c r="Q9" s="110"/>
      <c r="Y9" s="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"/>
  <sheetViews>
    <sheetView topLeftCell="I1" workbookViewId="0">
      <selection activeCell="M6" sqref="M6"/>
    </sheetView>
  </sheetViews>
  <sheetFormatPr defaultRowHeight="15" x14ac:dyDescent="0.25"/>
  <cols>
    <col min="1" max="1" width="22.85546875" bestFit="1" customWidth="1"/>
    <col min="2" max="2" width="11.42578125" customWidth="1"/>
    <col min="3" max="3" width="49.5703125" customWidth="1"/>
    <col min="4" max="4" width="16" customWidth="1"/>
    <col min="5" max="5" width="20" customWidth="1"/>
    <col min="6" max="6" width="17" customWidth="1"/>
    <col min="7" max="7" width="14" customWidth="1"/>
    <col min="8" max="8" width="18.28515625" customWidth="1"/>
    <col min="9" max="9" width="11.5703125" customWidth="1"/>
    <col min="10" max="10" width="16.42578125" customWidth="1"/>
    <col min="11" max="11" width="18.28515625" customWidth="1"/>
    <col min="12" max="12" width="17.5703125" customWidth="1"/>
    <col min="13" max="16" width="14.5703125" customWidth="1"/>
    <col min="17" max="17" width="16.28515625" customWidth="1"/>
    <col min="18" max="19" width="12" customWidth="1"/>
    <col min="20" max="20" width="12.7109375" customWidth="1"/>
    <col min="21" max="21" width="13.42578125" customWidth="1"/>
    <col min="22" max="22" width="17.7109375" customWidth="1"/>
    <col min="25" max="25" width="13.42578125" customWidth="1"/>
    <col min="26" max="26" width="15.140625" customWidth="1"/>
  </cols>
  <sheetData>
    <row r="1" spans="1:26" ht="66" x14ac:dyDescent="0.25">
      <c r="A1" s="2" t="s">
        <v>5</v>
      </c>
      <c r="B1" s="2" t="s">
        <v>6</v>
      </c>
      <c r="C1" s="2" t="s">
        <v>7</v>
      </c>
      <c r="D1" s="2" t="s">
        <v>154</v>
      </c>
      <c r="E1" s="2" t="s">
        <v>155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71</v>
      </c>
      <c r="N1" s="2" t="s">
        <v>156</v>
      </c>
      <c r="O1" s="2" t="s">
        <v>15</v>
      </c>
      <c r="P1" s="2" t="s">
        <v>150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7" t="s">
        <v>3</v>
      </c>
      <c r="X1" s="17" t="s">
        <v>4</v>
      </c>
      <c r="Y1" s="17" t="s">
        <v>84</v>
      </c>
      <c r="Z1" s="17" t="s">
        <v>152</v>
      </c>
    </row>
    <row r="2" spans="1:26" ht="67.5" customHeight="1" x14ac:dyDescent="0.25">
      <c r="A2" s="4" t="s">
        <v>56</v>
      </c>
      <c r="B2" s="4" t="s">
        <v>57</v>
      </c>
      <c r="C2" s="15" t="s">
        <v>58</v>
      </c>
      <c r="D2" s="4">
        <v>1579619</v>
      </c>
      <c r="E2" s="16">
        <v>44645</v>
      </c>
      <c r="F2" s="4" t="s">
        <v>24</v>
      </c>
      <c r="G2" s="9" t="s">
        <v>49</v>
      </c>
      <c r="H2" s="4" t="s">
        <v>82</v>
      </c>
      <c r="I2" s="4" t="s">
        <v>97</v>
      </c>
      <c r="J2" s="4" t="s">
        <v>66</v>
      </c>
      <c r="K2" s="8">
        <v>44719</v>
      </c>
      <c r="L2" s="8">
        <v>44720</v>
      </c>
      <c r="M2" s="4">
        <v>1601691</v>
      </c>
      <c r="N2" s="4" t="s">
        <v>81</v>
      </c>
      <c r="O2" s="8">
        <v>44761</v>
      </c>
      <c r="P2" s="7">
        <v>19900</v>
      </c>
      <c r="Q2" s="7">
        <f>+P2*1.23</f>
        <v>24477</v>
      </c>
      <c r="R2" s="4">
        <v>24</v>
      </c>
      <c r="S2" s="8">
        <v>44789</v>
      </c>
      <c r="T2" s="4">
        <v>9414242</v>
      </c>
      <c r="U2" s="8">
        <v>44790</v>
      </c>
      <c r="V2" s="4"/>
      <c r="W2" s="18" t="s">
        <v>0</v>
      </c>
      <c r="X2" s="4">
        <v>483</v>
      </c>
      <c r="Y2" s="4" t="s">
        <v>83</v>
      </c>
      <c r="Z2" s="7">
        <v>22029.3</v>
      </c>
    </row>
    <row r="6" spans="1:26" x14ac:dyDescent="0.25">
      <c r="P6" s="1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"/>
  <sheetViews>
    <sheetView topLeftCell="F1" zoomScale="110" zoomScaleNormal="110" workbookViewId="0">
      <selection activeCell="K9" sqref="K9"/>
    </sheetView>
  </sheetViews>
  <sheetFormatPr defaultRowHeight="15" x14ac:dyDescent="0.25"/>
  <cols>
    <col min="1" max="1" width="22.85546875" bestFit="1" customWidth="1"/>
    <col min="3" max="3" width="43.42578125" customWidth="1"/>
    <col min="4" max="4" width="13.5703125" customWidth="1"/>
    <col min="5" max="5" width="16.140625" customWidth="1"/>
    <col min="6" max="6" width="15.42578125" customWidth="1"/>
    <col min="7" max="7" width="15.28515625" customWidth="1"/>
    <col min="8" max="8" width="20" customWidth="1"/>
    <col min="9" max="9" width="19" customWidth="1"/>
    <col min="10" max="10" width="18" customWidth="1"/>
    <col min="11" max="11" width="13.140625" customWidth="1"/>
    <col min="12" max="12" width="9.5703125" bestFit="1" customWidth="1"/>
    <col min="13" max="13" width="14.85546875" customWidth="1"/>
    <col min="14" max="14" width="15.7109375" customWidth="1"/>
    <col min="15" max="16" width="15.5703125" customWidth="1"/>
    <col min="17" max="17" width="13.28515625" customWidth="1"/>
    <col min="18" max="18" width="14.5703125" customWidth="1"/>
    <col min="19" max="19" width="12.140625" customWidth="1"/>
    <col min="20" max="20" width="12.85546875" customWidth="1"/>
    <col min="21" max="21" width="14" customWidth="1"/>
    <col min="22" max="22" width="19.42578125" customWidth="1"/>
    <col min="25" max="25" width="12.140625" customWidth="1"/>
    <col min="26" max="26" width="15.28515625" customWidth="1"/>
  </cols>
  <sheetData>
    <row r="1" spans="1:26" ht="66" x14ac:dyDescent="0.25">
      <c r="A1" s="2" t="s">
        <v>5</v>
      </c>
      <c r="B1" s="2" t="s">
        <v>6</v>
      </c>
      <c r="C1" s="2" t="s">
        <v>7</v>
      </c>
      <c r="D1" s="2" t="s">
        <v>154</v>
      </c>
      <c r="E1" s="2" t="s">
        <v>155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71</v>
      </c>
      <c r="N1" s="2" t="s">
        <v>156</v>
      </c>
      <c r="O1" s="2" t="s">
        <v>15</v>
      </c>
      <c r="P1" s="2" t="s">
        <v>150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7" t="s">
        <v>3</v>
      </c>
      <c r="X1" s="17" t="s">
        <v>4</v>
      </c>
      <c r="Y1" s="17" t="s">
        <v>84</v>
      </c>
      <c r="Z1" s="17" t="s">
        <v>152</v>
      </c>
    </row>
    <row r="2" spans="1:26" ht="57" customHeight="1" x14ac:dyDescent="0.25">
      <c r="A2" s="3" t="s">
        <v>44</v>
      </c>
      <c r="B2" s="4" t="s">
        <v>23</v>
      </c>
      <c r="C2" s="14" t="s">
        <v>118</v>
      </c>
      <c r="D2" s="4">
        <v>1576439</v>
      </c>
      <c r="E2" s="8">
        <v>44635</v>
      </c>
      <c r="F2" s="4" t="s">
        <v>24</v>
      </c>
      <c r="G2" s="9" t="s">
        <v>49</v>
      </c>
      <c r="H2" s="4" t="s">
        <v>46</v>
      </c>
      <c r="I2" s="4" t="s">
        <v>45</v>
      </c>
      <c r="J2" s="4" t="s">
        <v>48</v>
      </c>
      <c r="K2" s="8">
        <v>44662</v>
      </c>
      <c r="L2" s="8">
        <v>44669</v>
      </c>
      <c r="M2" s="19">
        <v>1585752</v>
      </c>
      <c r="N2" s="4" t="s">
        <v>47</v>
      </c>
      <c r="O2" s="8">
        <v>44687</v>
      </c>
      <c r="P2" s="7">
        <v>9950</v>
      </c>
      <c r="Q2" s="7">
        <v>12238.5</v>
      </c>
      <c r="R2" s="4" t="s">
        <v>70</v>
      </c>
      <c r="S2" s="4" t="s">
        <v>70</v>
      </c>
      <c r="T2" s="4">
        <v>9334498</v>
      </c>
      <c r="U2" s="8">
        <v>44746</v>
      </c>
      <c r="V2" s="4" t="s">
        <v>78</v>
      </c>
      <c r="W2" s="18" t="s">
        <v>1</v>
      </c>
      <c r="X2" s="4">
        <v>483</v>
      </c>
      <c r="Y2" s="4" t="s">
        <v>93</v>
      </c>
      <c r="Z2" s="7">
        <f>+Q2</f>
        <v>12238.5</v>
      </c>
    </row>
    <row r="3" spans="1:26" ht="70.5" customHeight="1" x14ac:dyDescent="0.25">
      <c r="A3" s="3" t="s">
        <v>54</v>
      </c>
      <c r="B3" s="10" t="s">
        <v>23</v>
      </c>
      <c r="C3" s="14" t="s">
        <v>119</v>
      </c>
      <c r="D3" s="4">
        <v>1580640</v>
      </c>
      <c r="E3" s="8">
        <v>44650</v>
      </c>
      <c r="F3" s="4" t="s">
        <v>67</v>
      </c>
      <c r="G3" s="9" t="s">
        <v>68</v>
      </c>
      <c r="H3" s="4" t="s">
        <v>46</v>
      </c>
      <c r="I3" s="4" t="s">
        <v>69</v>
      </c>
      <c r="J3" s="4" t="s">
        <v>55</v>
      </c>
      <c r="K3" s="8">
        <v>44657</v>
      </c>
      <c r="L3" s="8">
        <v>44670</v>
      </c>
      <c r="M3" s="19">
        <v>1589803</v>
      </c>
      <c r="N3" s="4" t="s">
        <v>65</v>
      </c>
      <c r="O3" s="8">
        <v>44715</v>
      </c>
      <c r="P3" s="7">
        <v>27000</v>
      </c>
      <c r="Q3" s="7">
        <v>33210</v>
      </c>
      <c r="R3" s="4">
        <v>11</v>
      </c>
      <c r="S3" s="8">
        <v>44743</v>
      </c>
      <c r="T3" s="4">
        <v>9381671</v>
      </c>
      <c r="U3" s="8">
        <v>44764</v>
      </c>
      <c r="V3" s="4"/>
      <c r="W3" s="18" t="s">
        <v>0</v>
      </c>
      <c r="X3" s="4">
        <v>483</v>
      </c>
      <c r="Y3" s="4" t="s">
        <v>93</v>
      </c>
      <c r="Z3" s="7">
        <f>+Q3</f>
        <v>33210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" sqref="A3"/>
    </sheetView>
  </sheetViews>
  <sheetFormatPr defaultRowHeight="15" x14ac:dyDescent="0.25"/>
  <cols>
    <col min="1" max="1" width="35.28515625" bestFit="1" customWidth="1"/>
    <col min="2" max="2" width="24.7109375" customWidth="1"/>
  </cols>
  <sheetData>
    <row r="1" spans="1:2" x14ac:dyDescent="0.25">
      <c r="A1" s="112" t="s">
        <v>157</v>
      </c>
      <c r="B1" t="s">
        <v>166</v>
      </c>
    </row>
    <row r="2" spans="1:2" x14ac:dyDescent="0.25">
      <c r="A2" s="113" t="s">
        <v>160</v>
      </c>
      <c r="B2" s="114">
        <v>24918.6</v>
      </c>
    </row>
    <row r="3" spans="1:2" x14ac:dyDescent="0.25">
      <c r="A3" s="113" t="s">
        <v>161</v>
      </c>
      <c r="B3" s="114">
        <v>16272.9</v>
      </c>
    </row>
    <row r="4" spans="1:2" x14ac:dyDescent="0.25">
      <c r="A4" s="113" t="s">
        <v>162</v>
      </c>
      <c r="B4" s="114">
        <v>89007.01999999999</v>
      </c>
    </row>
    <row r="5" spans="1:2" x14ac:dyDescent="0.25">
      <c r="A5" s="113" t="s">
        <v>163</v>
      </c>
      <c r="B5" s="114">
        <v>22029.3</v>
      </c>
    </row>
    <row r="6" spans="1:2" x14ac:dyDescent="0.25">
      <c r="A6" s="113" t="s">
        <v>164</v>
      </c>
      <c r="B6" s="114">
        <v>45448.5</v>
      </c>
    </row>
    <row r="7" spans="1:2" x14ac:dyDescent="0.25">
      <c r="A7" s="113" t="s">
        <v>158</v>
      </c>
      <c r="B7" s="114">
        <v>197676.31999999998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" sqref="A3"/>
    </sheetView>
  </sheetViews>
  <sheetFormatPr defaultRowHeight="15" x14ac:dyDescent="0.25"/>
  <cols>
    <col min="1" max="1" width="35.28515625" customWidth="1"/>
    <col min="2" max="2" width="20.7109375" customWidth="1"/>
    <col min="3" max="3" width="25" bestFit="1" customWidth="1"/>
  </cols>
  <sheetData>
    <row r="1" spans="1:2" x14ac:dyDescent="0.25">
      <c r="A1" s="112" t="s">
        <v>157</v>
      </c>
      <c r="B1" t="s">
        <v>165</v>
      </c>
    </row>
    <row r="2" spans="1:2" x14ac:dyDescent="0.25">
      <c r="A2" s="113" t="s">
        <v>160</v>
      </c>
      <c r="B2" s="114">
        <v>340367.41999999993</v>
      </c>
    </row>
    <row r="3" spans="1:2" x14ac:dyDescent="0.25">
      <c r="A3" s="113" t="s">
        <v>161</v>
      </c>
      <c r="B3" s="114">
        <v>16272.9</v>
      </c>
    </row>
    <row r="4" spans="1:2" x14ac:dyDescent="0.25">
      <c r="A4" s="113" t="s">
        <v>162</v>
      </c>
      <c r="B4" s="114">
        <v>115846.55380000001</v>
      </c>
    </row>
    <row r="5" spans="1:2" x14ac:dyDescent="0.25">
      <c r="A5" s="113" t="s">
        <v>163</v>
      </c>
      <c r="B5" s="114">
        <v>24477</v>
      </c>
    </row>
    <row r="6" spans="1:2" x14ac:dyDescent="0.25">
      <c r="A6" s="113" t="s">
        <v>164</v>
      </c>
      <c r="B6" s="114">
        <v>45448.5</v>
      </c>
    </row>
    <row r="7" spans="1:2" x14ac:dyDescent="0.25">
      <c r="A7" s="113" t="s">
        <v>158</v>
      </c>
      <c r="B7" s="114">
        <v>542412.37379999994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>
      <selection activeCell="A3" sqref="A3"/>
    </sheetView>
  </sheetViews>
  <sheetFormatPr defaultRowHeight="15" x14ac:dyDescent="0.25"/>
  <cols>
    <col min="1" max="1" width="33.42578125" bestFit="1" customWidth="1"/>
    <col min="2" max="2" width="20.7109375" bestFit="1" customWidth="1"/>
    <col min="3" max="4" width="24.7109375" bestFit="1" customWidth="1"/>
    <col min="5" max="5" width="14.85546875" bestFit="1" customWidth="1"/>
    <col min="6" max="6" width="10.7109375" bestFit="1" customWidth="1"/>
  </cols>
  <sheetData>
    <row r="2" spans="1:3" x14ac:dyDescent="0.25">
      <c r="A2" t="s">
        <v>170</v>
      </c>
      <c r="B2" t="s">
        <v>165</v>
      </c>
      <c r="C2" t="s">
        <v>166</v>
      </c>
    </row>
    <row r="3" spans="1:3" x14ac:dyDescent="0.25">
      <c r="A3" s="114">
        <v>16</v>
      </c>
      <c r="B3" s="1">
        <v>542412.37379999994</v>
      </c>
      <c r="C3" s="1">
        <v>197676.31999999998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A3" sqref="A3"/>
    </sheetView>
  </sheetViews>
  <sheetFormatPr defaultRowHeight="15" x14ac:dyDescent="0.25"/>
  <cols>
    <col min="1" max="1" width="35.28515625" bestFit="1" customWidth="1"/>
    <col min="2" max="2" width="26.28515625" bestFit="1" customWidth="1"/>
    <col min="3" max="3" width="20.7109375" bestFit="1" customWidth="1"/>
  </cols>
  <sheetData>
    <row r="3" spans="1:3" x14ac:dyDescent="0.25">
      <c r="A3" s="112" t="s">
        <v>157</v>
      </c>
      <c r="B3" t="s">
        <v>179</v>
      </c>
      <c r="C3" t="s">
        <v>173</v>
      </c>
    </row>
    <row r="4" spans="1:3" x14ac:dyDescent="0.25">
      <c r="A4" s="113" t="s">
        <v>160</v>
      </c>
      <c r="B4" s="114">
        <v>495000</v>
      </c>
      <c r="C4" s="114">
        <v>318503.23</v>
      </c>
    </row>
    <row r="5" spans="1:3" x14ac:dyDescent="0.25">
      <c r="A5" s="113" t="s">
        <v>161</v>
      </c>
      <c r="B5" s="114">
        <v>385000</v>
      </c>
      <c r="C5" s="114">
        <v>13230</v>
      </c>
    </row>
    <row r="6" spans="1:3" x14ac:dyDescent="0.25">
      <c r="A6" s="113" t="s">
        <v>162</v>
      </c>
      <c r="B6" s="114">
        <v>308000</v>
      </c>
      <c r="C6" s="114">
        <v>106616.51</v>
      </c>
    </row>
    <row r="7" spans="1:3" x14ac:dyDescent="0.25">
      <c r="A7" s="113" t="s">
        <v>163</v>
      </c>
      <c r="B7" s="114">
        <v>165000</v>
      </c>
      <c r="C7" s="114">
        <v>19900</v>
      </c>
    </row>
    <row r="8" spans="1:3" x14ac:dyDescent="0.25">
      <c r="A8" s="113" t="s">
        <v>164</v>
      </c>
      <c r="B8" s="114">
        <v>1408000</v>
      </c>
      <c r="C8" s="114">
        <v>36950</v>
      </c>
    </row>
    <row r="9" spans="1:3" x14ac:dyDescent="0.25">
      <c r="A9" s="113" t="s">
        <v>158</v>
      </c>
      <c r="B9" s="114">
        <v>2761000</v>
      </c>
      <c r="C9" s="114">
        <v>495199.74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AC18"/>
  <sheetViews>
    <sheetView topLeftCell="M10" workbookViewId="0">
      <selection activeCell="S2" sqref="S2:S17"/>
    </sheetView>
  </sheetViews>
  <sheetFormatPr defaultRowHeight="15" x14ac:dyDescent="0.25"/>
  <cols>
    <col min="1" max="1" width="23.28515625" customWidth="1"/>
    <col min="2" max="2" width="14.85546875" customWidth="1"/>
    <col min="3" max="3" width="20.28515625" customWidth="1"/>
    <col min="4" max="4" width="0" hidden="1" customWidth="1"/>
    <col min="5" max="5" width="25.5703125" customWidth="1"/>
    <col min="6" max="6" width="12.7109375" customWidth="1"/>
    <col min="7" max="7" width="13.5703125" customWidth="1"/>
    <col min="8" max="8" width="16.85546875" customWidth="1"/>
    <col min="9" max="9" width="15.140625" customWidth="1"/>
    <col min="10" max="10" width="13.85546875" customWidth="1"/>
    <col min="11" max="11" width="16.85546875" customWidth="1"/>
    <col min="12" max="12" width="16.5703125" customWidth="1"/>
    <col min="13" max="13" width="13.5703125" customWidth="1"/>
    <col min="14" max="14" width="14.140625" customWidth="1"/>
    <col min="15" max="15" width="17.5703125" customWidth="1"/>
    <col min="16" max="16" width="18.42578125" customWidth="1"/>
    <col min="17" max="17" width="15.42578125" customWidth="1"/>
    <col min="18" max="19" width="11.28515625" bestFit="1" customWidth="1"/>
    <col min="20" max="20" width="13.140625" customWidth="1"/>
    <col min="21" max="21" width="13.5703125" customWidth="1"/>
    <col min="22" max="22" width="14.28515625" customWidth="1"/>
    <col min="23" max="23" width="13.42578125" customWidth="1"/>
    <col min="24" max="24" width="14.42578125" customWidth="1"/>
    <col min="25" max="25" width="16.7109375" customWidth="1"/>
    <col min="27" max="27" width="13.140625" customWidth="1"/>
    <col min="28" max="28" width="16.28515625" customWidth="1"/>
  </cols>
  <sheetData>
    <row r="1" spans="1:29" ht="66" x14ac:dyDescent="0.25">
      <c r="A1" s="128" t="s">
        <v>159</v>
      </c>
      <c r="B1" s="128" t="s">
        <v>178</v>
      </c>
      <c r="C1" s="128" t="s">
        <v>5</v>
      </c>
      <c r="D1" s="128" t="s">
        <v>6</v>
      </c>
      <c r="E1" s="128" t="s">
        <v>7</v>
      </c>
      <c r="F1" s="128" t="s">
        <v>154</v>
      </c>
      <c r="G1" s="128" t="s">
        <v>155</v>
      </c>
      <c r="H1" s="128" t="s">
        <v>8</v>
      </c>
      <c r="I1" s="128" t="s">
        <v>9</v>
      </c>
      <c r="J1" s="128" t="s">
        <v>10</v>
      </c>
      <c r="K1" s="128" t="s">
        <v>11</v>
      </c>
      <c r="L1" s="128" t="s">
        <v>12</v>
      </c>
      <c r="M1" s="128" t="s">
        <v>13</v>
      </c>
      <c r="N1" s="128" t="s">
        <v>14</v>
      </c>
      <c r="O1" s="128" t="s">
        <v>71</v>
      </c>
      <c r="P1" s="128" t="s">
        <v>156</v>
      </c>
      <c r="Q1" s="128" t="s">
        <v>15</v>
      </c>
      <c r="R1" s="128" t="s">
        <v>150</v>
      </c>
      <c r="S1" s="128" t="s">
        <v>16</v>
      </c>
      <c r="T1" s="128" t="s">
        <v>17</v>
      </c>
      <c r="U1" s="128" t="s">
        <v>18</v>
      </c>
      <c r="V1" s="128" t="s">
        <v>19</v>
      </c>
      <c r="W1" s="128" t="s">
        <v>20</v>
      </c>
      <c r="X1" s="128" t="s">
        <v>21</v>
      </c>
      <c r="Y1" s="17" t="s">
        <v>3</v>
      </c>
      <c r="Z1" s="17" t="s">
        <v>4</v>
      </c>
      <c r="AA1" s="17" t="s">
        <v>84</v>
      </c>
      <c r="AB1" s="17" t="s">
        <v>152</v>
      </c>
    </row>
    <row r="2" spans="1:29" ht="114" customHeight="1" x14ac:dyDescent="0.25">
      <c r="A2" s="129" t="s">
        <v>160</v>
      </c>
      <c r="B2" s="130">
        <v>495000</v>
      </c>
      <c r="C2" s="131" t="s">
        <v>22</v>
      </c>
      <c r="D2" s="131" t="s">
        <v>23</v>
      </c>
      <c r="E2" s="132" t="s">
        <v>117</v>
      </c>
      <c r="F2" s="131">
        <v>1577019</v>
      </c>
      <c r="G2" s="133">
        <v>44636</v>
      </c>
      <c r="H2" s="134" t="s">
        <v>24</v>
      </c>
      <c r="I2" s="134" t="s">
        <v>49</v>
      </c>
      <c r="J2" s="131" t="s">
        <v>46</v>
      </c>
      <c r="K2" s="131" t="s">
        <v>25</v>
      </c>
      <c r="L2" s="131" t="s">
        <v>27</v>
      </c>
      <c r="M2" s="133">
        <v>44662</v>
      </c>
      <c r="N2" s="133">
        <v>44670</v>
      </c>
      <c r="O2" s="135">
        <v>1586371</v>
      </c>
      <c r="P2" s="131" t="s">
        <v>26</v>
      </c>
      <c r="Q2" s="133">
        <v>44691</v>
      </c>
      <c r="R2" s="136">
        <f>+S2/1.23</f>
        <v>8700</v>
      </c>
      <c r="S2" s="136">
        <v>10701</v>
      </c>
      <c r="T2" s="131" t="s">
        <v>70</v>
      </c>
      <c r="U2" s="131" t="s">
        <v>70</v>
      </c>
      <c r="V2" s="131">
        <v>9321807</v>
      </c>
      <c r="W2" s="133">
        <v>44735</v>
      </c>
      <c r="X2" s="144" t="s">
        <v>188</v>
      </c>
      <c r="Y2" s="137" t="s">
        <v>167</v>
      </c>
      <c r="Z2" s="131">
        <v>483</v>
      </c>
      <c r="AA2" s="131" t="s">
        <v>189</v>
      </c>
      <c r="AB2" s="136">
        <f t="shared" ref="AB2:AB11" si="0">+S2</f>
        <v>10701</v>
      </c>
    </row>
    <row r="3" spans="1:29" ht="100.15" customHeight="1" x14ac:dyDescent="0.25">
      <c r="A3" s="6" t="s">
        <v>160</v>
      </c>
      <c r="B3" s="127"/>
      <c r="C3" s="4" t="s">
        <v>59</v>
      </c>
      <c r="D3" s="10" t="s">
        <v>23</v>
      </c>
      <c r="E3" s="5" t="s">
        <v>60</v>
      </c>
      <c r="F3" s="4">
        <v>1588024</v>
      </c>
      <c r="G3" s="8">
        <v>44684</v>
      </c>
      <c r="H3" s="4" t="s">
        <v>41</v>
      </c>
      <c r="I3" s="4" t="s">
        <v>193</v>
      </c>
      <c r="J3" s="4" t="s">
        <v>61</v>
      </c>
      <c r="K3" s="4" t="s">
        <v>62</v>
      </c>
      <c r="L3" s="4" t="s">
        <v>63</v>
      </c>
      <c r="M3" s="8">
        <v>44711</v>
      </c>
      <c r="N3" s="4" t="s">
        <v>70</v>
      </c>
      <c r="O3" s="4">
        <v>1588024</v>
      </c>
      <c r="P3" s="4" t="s">
        <v>64</v>
      </c>
      <c r="Q3" s="8">
        <v>44713</v>
      </c>
      <c r="R3" s="7">
        <f>+S3/1.06</f>
        <v>4710</v>
      </c>
      <c r="S3" s="7">
        <v>4992.6000000000004</v>
      </c>
      <c r="T3" s="4" t="s">
        <v>70</v>
      </c>
      <c r="U3" s="4" t="s">
        <v>70</v>
      </c>
      <c r="V3" s="4" t="s">
        <v>70</v>
      </c>
      <c r="W3" s="4" t="s">
        <v>70</v>
      </c>
      <c r="X3" s="4" t="s">
        <v>76</v>
      </c>
      <c r="Y3" s="18" t="s">
        <v>169</v>
      </c>
      <c r="Z3" s="4">
        <v>483</v>
      </c>
      <c r="AA3" s="4" t="s">
        <v>95</v>
      </c>
      <c r="AB3" s="7">
        <f t="shared" si="0"/>
        <v>4992.6000000000004</v>
      </c>
    </row>
    <row r="4" spans="1:29" ht="100.15" customHeight="1" x14ac:dyDescent="0.25">
      <c r="A4" s="6" t="s">
        <v>160</v>
      </c>
      <c r="B4" s="127"/>
      <c r="C4" s="4" t="s">
        <v>72</v>
      </c>
      <c r="D4" s="10" t="s">
        <v>23</v>
      </c>
      <c r="E4" s="5" t="s">
        <v>73</v>
      </c>
      <c r="F4" s="4">
        <v>1590287</v>
      </c>
      <c r="G4" s="8">
        <v>44692</v>
      </c>
      <c r="H4" s="134" t="s">
        <v>24</v>
      </c>
      <c r="I4" s="9" t="s">
        <v>49</v>
      </c>
      <c r="J4" s="4" t="s">
        <v>46</v>
      </c>
      <c r="K4" s="4" t="s">
        <v>74</v>
      </c>
      <c r="L4" s="4" t="s">
        <v>75</v>
      </c>
      <c r="M4" s="8">
        <v>44707</v>
      </c>
      <c r="N4" s="8">
        <v>44712</v>
      </c>
      <c r="O4" s="4">
        <v>1595623</v>
      </c>
      <c r="P4" s="4" t="s">
        <v>80</v>
      </c>
      <c r="Q4" s="8">
        <v>44750</v>
      </c>
      <c r="R4" s="7">
        <f>+S4/1.23</f>
        <v>7500</v>
      </c>
      <c r="S4" s="7">
        <f>7500*1.23</f>
        <v>9225</v>
      </c>
      <c r="T4" s="4" t="s">
        <v>70</v>
      </c>
      <c r="U4" s="4" t="s">
        <v>70</v>
      </c>
      <c r="V4" s="4">
        <v>9382116</v>
      </c>
      <c r="W4" s="8">
        <v>44764</v>
      </c>
      <c r="X4" s="4" t="s">
        <v>85</v>
      </c>
      <c r="Y4" s="18" t="s">
        <v>167</v>
      </c>
      <c r="Z4" s="4">
        <v>483</v>
      </c>
      <c r="AA4" s="4" t="s">
        <v>98</v>
      </c>
      <c r="AB4" s="7">
        <f t="shared" si="0"/>
        <v>9225</v>
      </c>
    </row>
    <row r="5" spans="1:29" ht="100.15" customHeight="1" x14ac:dyDescent="0.25">
      <c r="A5" s="6" t="s">
        <v>160</v>
      </c>
      <c r="B5" s="127"/>
      <c r="C5" s="4" t="s">
        <v>200</v>
      </c>
      <c r="D5" s="10" t="s">
        <v>23</v>
      </c>
      <c r="E5" s="5" t="s">
        <v>201</v>
      </c>
      <c r="F5" s="4">
        <v>1607992</v>
      </c>
      <c r="G5" s="16">
        <v>44911</v>
      </c>
      <c r="H5" s="134" t="s">
        <v>202</v>
      </c>
      <c r="I5" s="9" t="s">
        <v>203</v>
      </c>
      <c r="J5" s="4" t="s">
        <v>204</v>
      </c>
      <c r="K5" s="4" t="s">
        <v>212</v>
      </c>
      <c r="L5" s="4" t="s">
        <v>205</v>
      </c>
      <c r="M5" s="8">
        <v>44960</v>
      </c>
      <c r="N5" s="4" t="s">
        <v>70</v>
      </c>
      <c r="O5" s="4" t="s">
        <v>213</v>
      </c>
      <c r="P5" s="4" t="s">
        <v>214</v>
      </c>
      <c r="Q5" s="8" t="s">
        <v>215</v>
      </c>
      <c r="R5" s="7">
        <f>247783.88+49809.35</f>
        <v>297593.23</v>
      </c>
      <c r="S5" s="7">
        <f>262650.91+52797.91</f>
        <v>315448.81999999995</v>
      </c>
      <c r="T5" s="4" t="s">
        <v>216</v>
      </c>
      <c r="U5" s="8">
        <v>45072</v>
      </c>
      <c r="V5" s="4" t="s">
        <v>223</v>
      </c>
      <c r="W5" s="8">
        <v>45100</v>
      </c>
      <c r="X5" s="4" t="s">
        <v>218</v>
      </c>
      <c r="Y5" s="18" t="s">
        <v>2</v>
      </c>
      <c r="Z5" s="4" t="s">
        <v>198</v>
      </c>
      <c r="AA5" s="4" t="s">
        <v>217</v>
      </c>
      <c r="AB5" s="7"/>
    </row>
    <row r="6" spans="1:29" ht="100.15" customHeight="1" x14ac:dyDescent="0.25">
      <c r="A6" s="6" t="s">
        <v>161</v>
      </c>
      <c r="B6" s="127">
        <v>385000</v>
      </c>
      <c r="C6" s="4" t="s">
        <v>32</v>
      </c>
      <c r="D6" s="4" t="s">
        <v>33</v>
      </c>
      <c r="E6" s="13" t="s">
        <v>34</v>
      </c>
      <c r="F6" s="4">
        <v>1564506</v>
      </c>
      <c r="G6" s="16">
        <v>44629</v>
      </c>
      <c r="H6" s="134" t="s">
        <v>24</v>
      </c>
      <c r="I6" s="9" t="s">
        <v>49</v>
      </c>
      <c r="J6" s="4" t="s">
        <v>79</v>
      </c>
      <c r="K6" s="4" t="s">
        <v>36</v>
      </c>
      <c r="L6" s="4" t="s">
        <v>38</v>
      </c>
      <c r="M6" s="8">
        <v>44677</v>
      </c>
      <c r="N6" s="4"/>
      <c r="O6" s="4">
        <v>1574925</v>
      </c>
      <c r="P6" s="4" t="s">
        <v>42</v>
      </c>
      <c r="Q6" s="8">
        <v>44699</v>
      </c>
      <c r="R6" s="7">
        <f>+S6/1.23</f>
        <v>6100</v>
      </c>
      <c r="S6" s="7">
        <v>7503</v>
      </c>
      <c r="T6" s="4" t="s">
        <v>70</v>
      </c>
      <c r="U6" s="4" t="s">
        <v>70</v>
      </c>
      <c r="V6" s="4">
        <v>9339243</v>
      </c>
      <c r="W6" s="8">
        <v>44748</v>
      </c>
      <c r="X6" s="144" t="s">
        <v>187</v>
      </c>
      <c r="Y6" s="18" t="s">
        <v>168</v>
      </c>
      <c r="Z6" s="4">
        <v>483</v>
      </c>
      <c r="AA6" s="4" t="s">
        <v>95</v>
      </c>
      <c r="AB6" s="7">
        <f t="shared" si="0"/>
        <v>7503</v>
      </c>
    </row>
    <row r="7" spans="1:29" ht="100.15" customHeight="1" x14ac:dyDescent="0.25">
      <c r="A7" s="6" t="s">
        <v>161</v>
      </c>
      <c r="B7" s="127"/>
      <c r="C7" s="4" t="s">
        <v>35</v>
      </c>
      <c r="D7" s="4" t="s">
        <v>33</v>
      </c>
      <c r="E7" s="13" t="s">
        <v>40</v>
      </c>
      <c r="F7" s="4">
        <v>1578438</v>
      </c>
      <c r="G7" s="16">
        <v>44643</v>
      </c>
      <c r="H7" s="4" t="s">
        <v>41</v>
      </c>
      <c r="I7" s="4" t="s">
        <v>194</v>
      </c>
      <c r="J7" s="4" t="s">
        <v>53</v>
      </c>
      <c r="K7" s="4" t="s">
        <v>37</v>
      </c>
      <c r="L7" s="4" t="s">
        <v>39</v>
      </c>
      <c r="M7" s="8">
        <v>44662</v>
      </c>
      <c r="N7" s="4"/>
      <c r="O7" s="4">
        <v>1578438</v>
      </c>
      <c r="P7" s="4" t="s">
        <v>43</v>
      </c>
      <c r="Q7" s="8">
        <v>44664</v>
      </c>
      <c r="R7" s="7">
        <f t="shared" ref="R7:R8" si="1">+S7/1.23</f>
        <v>4730</v>
      </c>
      <c r="S7" s="7">
        <v>5817.9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77</v>
      </c>
      <c r="Y7" s="18" t="s">
        <v>167</v>
      </c>
      <c r="Z7" s="4">
        <v>483</v>
      </c>
      <c r="AA7" s="4" t="s">
        <v>96</v>
      </c>
      <c r="AB7" s="7">
        <f t="shared" si="0"/>
        <v>5817.9</v>
      </c>
    </row>
    <row r="8" spans="1:29" ht="100.15" customHeight="1" x14ac:dyDescent="0.25">
      <c r="A8" s="6" t="s">
        <v>161</v>
      </c>
      <c r="B8" s="127"/>
      <c r="C8" s="4" t="s">
        <v>109</v>
      </c>
      <c r="D8" s="4" t="s">
        <v>33</v>
      </c>
      <c r="E8" s="13" t="s">
        <v>110</v>
      </c>
      <c r="F8" s="4">
        <v>1623347</v>
      </c>
      <c r="G8" s="16">
        <v>44853</v>
      </c>
      <c r="H8" s="4" t="s">
        <v>41</v>
      </c>
      <c r="I8" s="4" t="s">
        <v>194</v>
      </c>
      <c r="J8" s="4" t="s">
        <v>113</v>
      </c>
      <c r="K8" s="4" t="s">
        <v>114</v>
      </c>
      <c r="L8" s="4" t="s">
        <v>112</v>
      </c>
      <c r="M8" s="8">
        <v>44854</v>
      </c>
      <c r="N8" s="4"/>
      <c r="O8" s="4">
        <v>1623347</v>
      </c>
      <c r="P8" s="4" t="s">
        <v>111</v>
      </c>
      <c r="Q8" s="8">
        <v>44858</v>
      </c>
      <c r="R8" s="7">
        <f t="shared" si="1"/>
        <v>2400</v>
      </c>
      <c r="S8" s="7">
        <v>2952</v>
      </c>
      <c r="T8" s="4" t="s">
        <v>70</v>
      </c>
      <c r="U8" s="4" t="s">
        <v>70</v>
      </c>
      <c r="V8" s="4" t="s">
        <v>70</v>
      </c>
      <c r="W8" s="4" t="s">
        <v>70</v>
      </c>
      <c r="X8" s="4" t="s">
        <v>115</v>
      </c>
      <c r="Y8" s="18" t="s">
        <v>168</v>
      </c>
      <c r="Z8" s="4">
        <v>483</v>
      </c>
      <c r="AA8" s="4" t="s">
        <v>116</v>
      </c>
      <c r="AB8" s="7">
        <f t="shared" si="0"/>
        <v>2952</v>
      </c>
    </row>
    <row r="9" spans="1:29" ht="100.15" customHeight="1" x14ac:dyDescent="0.25">
      <c r="A9" s="6" t="s">
        <v>161</v>
      </c>
      <c r="B9" s="127"/>
      <c r="C9" s="4" t="s">
        <v>207</v>
      </c>
      <c r="D9" s="4" t="s">
        <v>33</v>
      </c>
      <c r="E9" s="147" t="s">
        <v>208</v>
      </c>
      <c r="F9" s="4">
        <v>1646051</v>
      </c>
      <c r="G9" s="16">
        <v>45012</v>
      </c>
      <c r="H9" s="4" t="s">
        <v>202</v>
      </c>
      <c r="I9" s="9" t="s">
        <v>203</v>
      </c>
      <c r="J9" s="4" t="s">
        <v>204</v>
      </c>
      <c r="K9" s="4"/>
      <c r="L9" s="4" t="s">
        <v>209</v>
      </c>
      <c r="M9" s="8">
        <v>45021</v>
      </c>
      <c r="N9" s="4"/>
      <c r="O9" s="4"/>
      <c r="P9" s="4"/>
      <c r="Q9" s="8"/>
      <c r="R9" s="7"/>
      <c r="S9" s="7"/>
      <c r="T9" s="4"/>
      <c r="U9" s="4"/>
      <c r="V9" s="4"/>
      <c r="W9" s="4"/>
      <c r="X9" s="145" t="s">
        <v>206</v>
      </c>
      <c r="Y9" s="18" t="s">
        <v>169</v>
      </c>
      <c r="Z9" s="4" t="s">
        <v>198</v>
      </c>
      <c r="AA9" s="4"/>
      <c r="AB9" s="7"/>
    </row>
    <row r="10" spans="1:29" ht="78.75" x14ac:dyDescent="0.25">
      <c r="A10" s="6" t="s">
        <v>162</v>
      </c>
      <c r="B10" s="127">
        <v>308000</v>
      </c>
      <c r="C10" s="4" t="s">
        <v>28</v>
      </c>
      <c r="D10" s="10" t="s">
        <v>23</v>
      </c>
      <c r="E10" s="11" t="s">
        <v>51</v>
      </c>
      <c r="F10" s="4">
        <v>1582996</v>
      </c>
      <c r="G10" s="12">
        <v>44659</v>
      </c>
      <c r="H10" s="4" t="s">
        <v>41</v>
      </c>
      <c r="I10" s="4" t="s">
        <v>194</v>
      </c>
      <c r="J10" s="4" t="s">
        <v>29</v>
      </c>
      <c r="K10" s="4" t="s">
        <v>25</v>
      </c>
      <c r="L10" s="4" t="s">
        <v>30</v>
      </c>
      <c r="M10" s="8">
        <v>44663</v>
      </c>
      <c r="N10" s="4"/>
      <c r="O10" s="4">
        <v>1582996</v>
      </c>
      <c r="P10" s="4" t="s">
        <v>31</v>
      </c>
      <c r="Q10" s="8">
        <v>44664</v>
      </c>
      <c r="R10" s="7">
        <f>+S10/1.23</f>
        <v>4740</v>
      </c>
      <c r="S10" s="7">
        <v>5830.2</v>
      </c>
      <c r="T10" s="4" t="s">
        <v>70</v>
      </c>
      <c r="U10" s="4" t="s">
        <v>70</v>
      </c>
      <c r="V10" s="4" t="s">
        <v>70</v>
      </c>
      <c r="W10" s="4" t="s">
        <v>70</v>
      </c>
      <c r="X10" s="4" t="s">
        <v>77</v>
      </c>
      <c r="Y10" s="18" t="s">
        <v>167</v>
      </c>
      <c r="Z10" s="4">
        <v>483</v>
      </c>
      <c r="AA10" s="4" t="s">
        <v>94</v>
      </c>
      <c r="AB10" s="7">
        <f t="shared" si="0"/>
        <v>5830.2</v>
      </c>
    </row>
    <row r="11" spans="1:29" ht="65.25" x14ac:dyDescent="0.25">
      <c r="A11" s="6" t="s">
        <v>162</v>
      </c>
      <c r="B11" s="127"/>
      <c r="C11" s="4" t="s">
        <v>86</v>
      </c>
      <c r="D11" s="10" t="s">
        <v>92</v>
      </c>
      <c r="E11" s="11" t="s">
        <v>87</v>
      </c>
      <c r="F11" s="4">
        <v>1595710</v>
      </c>
      <c r="G11" s="12">
        <v>44727</v>
      </c>
      <c r="H11" s="134" t="s">
        <v>24</v>
      </c>
      <c r="I11" s="9" t="s">
        <v>49</v>
      </c>
      <c r="J11" s="4" t="s">
        <v>89</v>
      </c>
      <c r="K11" s="4" t="s">
        <v>91</v>
      </c>
      <c r="L11" s="4" t="s">
        <v>90</v>
      </c>
      <c r="M11" s="8">
        <v>44727</v>
      </c>
      <c r="N11" s="8">
        <v>44767</v>
      </c>
      <c r="O11" s="4">
        <v>1612455</v>
      </c>
      <c r="P11" s="4" t="s">
        <v>105</v>
      </c>
      <c r="Q11" s="8">
        <v>44816</v>
      </c>
      <c r="R11" s="7">
        <f t="shared" ref="R11" si="2">+S11/1.23</f>
        <v>11925</v>
      </c>
      <c r="S11" s="7">
        <v>14667.75</v>
      </c>
      <c r="T11" s="4">
        <v>31</v>
      </c>
      <c r="U11" s="8">
        <v>44855</v>
      </c>
      <c r="V11" s="4">
        <v>9539364</v>
      </c>
      <c r="W11" s="8">
        <v>44873</v>
      </c>
      <c r="X11" s="4"/>
      <c r="Y11" s="18" t="s">
        <v>168</v>
      </c>
      <c r="Z11" s="4">
        <v>483</v>
      </c>
      <c r="AA11" s="4" t="s">
        <v>96</v>
      </c>
      <c r="AB11" s="7">
        <f t="shared" si="0"/>
        <v>14667.75</v>
      </c>
    </row>
    <row r="12" spans="1:29" ht="54" x14ac:dyDescent="0.25">
      <c r="A12" s="6" t="s">
        <v>162</v>
      </c>
      <c r="B12" s="127"/>
      <c r="C12" s="4" t="s">
        <v>101</v>
      </c>
      <c r="D12" s="10" t="s">
        <v>102</v>
      </c>
      <c r="E12" s="11" t="s">
        <v>103</v>
      </c>
      <c r="F12" s="4">
        <v>1595328</v>
      </c>
      <c r="G12" s="12">
        <v>44768</v>
      </c>
      <c r="H12" s="4" t="s">
        <v>67</v>
      </c>
      <c r="I12" s="9" t="s">
        <v>192</v>
      </c>
      <c r="J12" s="4" t="s">
        <v>106</v>
      </c>
      <c r="K12" s="4" t="s">
        <v>104</v>
      </c>
      <c r="L12" s="4" t="s">
        <v>107</v>
      </c>
      <c r="M12" s="8">
        <v>44785</v>
      </c>
      <c r="N12" s="8">
        <v>44802</v>
      </c>
      <c r="O12" s="4">
        <v>1624477</v>
      </c>
      <c r="P12" s="4" t="s">
        <v>108</v>
      </c>
      <c r="Q12" s="8">
        <v>44872</v>
      </c>
      <c r="R12" s="7">
        <f>+S12/1.06</f>
        <v>77515.23</v>
      </c>
      <c r="S12" s="7">
        <f>77515.23*1.06</f>
        <v>82166.143800000005</v>
      </c>
      <c r="T12" s="4">
        <v>42</v>
      </c>
      <c r="U12" s="8">
        <v>44882</v>
      </c>
      <c r="V12" s="4">
        <v>9600888</v>
      </c>
      <c r="W12" s="8">
        <v>44900</v>
      </c>
      <c r="X12" s="4"/>
      <c r="Y12" s="18" t="s">
        <v>169</v>
      </c>
      <c r="Z12" s="4">
        <v>483</v>
      </c>
      <c r="AA12" s="4" t="s">
        <v>83</v>
      </c>
      <c r="AB12" s="7">
        <f>49692.81+18816.26</f>
        <v>68509.069999999992</v>
      </c>
      <c r="AC12" s="146"/>
    </row>
    <row r="13" spans="1:29" ht="54" x14ac:dyDescent="0.25">
      <c r="A13" s="6" t="s">
        <v>162</v>
      </c>
      <c r="B13" s="127"/>
      <c r="C13" s="4" t="s">
        <v>190</v>
      </c>
      <c r="D13" s="10" t="s">
        <v>102</v>
      </c>
      <c r="E13" s="11" t="s">
        <v>191</v>
      </c>
      <c r="F13" s="4">
        <v>1655597</v>
      </c>
      <c r="G13" s="12">
        <v>44987</v>
      </c>
      <c r="H13" s="4" t="s">
        <v>41</v>
      </c>
      <c r="I13" s="4" t="s">
        <v>50</v>
      </c>
      <c r="J13" s="4" t="s">
        <v>106</v>
      </c>
      <c r="K13" s="4" t="s">
        <v>104</v>
      </c>
      <c r="L13" s="4" t="s">
        <v>195</v>
      </c>
      <c r="M13" s="8">
        <v>44993</v>
      </c>
      <c r="N13" s="8"/>
      <c r="O13" s="4">
        <v>1655597</v>
      </c>
      <c r="P13" s="4" t="s">
        <v>196</v>
      </c>
      <c r="Q13" s="8">
        <v>44994</v>
      </c>
      <c r="R13" s="7">
        <v>4999</v>
      </c>
      <c r="S13" s="7">
        <f>+R13*1.06</f>
        <v>5298.9400000000005</v>
      </c>
      <c r="T13" s="4" t="s">
        <v>70</v>
      </c>
      <c r="U13" s="4" t="s">
        <v>70</v>
      </c>
      <c r="V13" s="4" t="s">
        <v>70</v>
      </c>
      <c r="W13" s="4" t="s">
        <v>70</v>
      </c>
      <c r="X13" s="4" t="s">
        <v>197</v>
      </c>
      <c r="Y13" s="18" t="s">
        <v>169</v>
      </c>
      <c r="Z13" s="4" t="s">
        <v>198</v>
      </c>
      <c r="AA13" s="4" t="s">
        <v>199</v>
      </c>
      <c r="AB13" s="7"/>
    </row>
    <row r="14" spans="1:29" ht="67.5" x14ac:dyDescent="0.25">
      <c r="A14" s="6" t="s">
        <v>162</v>
      </c>
      <c r="B14" s="127"/>
      <c r="C14" s="4" t="s">
        <v>101</v>
      </c>
      <c r="D14" s="10" t="s">
        <v>102</v>
      </c>
      <c r="E14" s="11" t="s">
        <v>219</v>
      </c>
      <c r="F14" s="4">
        <v>1671053</v>
      </c>
      <c r="G14" s="12">
        <v>45056</v>
      </c>
      <c r="H14" s="4" t="s">
        <v>67</v>
      </c>
      <c r="I14" s="9" t="s">
        <v>68</v>
      </c>
      <c r="J14" s="4" t="s">
        <v>106</v>
      </c>
      <c r="K14" s="4" t="s">
        <v>104</v>
      </c>
      <c r="L14" s="4" t="s">
        <v>220</v>
      </c>
      <c r="M14" s="8">
        <v>45086</v>
      </c>
      <c r="N14" s="8"/>
      <c r="O14" s="4">
        <v>1671053</v>
      </c>
      <c r="P14" s="4" t="s">
        <v>221</v>
      </c>
      <c r="Q14" s="8">
        <v>45090</v>
      </c>
      <c r="R14" s="7">
        <v>7437.28</v>
      </c>
      <c r="S14" s="7">
        <v>7883.52</v>
      </c>
      <c r="T14" s="4" t="s">
        <v>222</v>
      </c>
      <c r="U14" s="8">
        <v>45092</v>
      </c>
      <c r="V14" s="4">
        <v>12361923</v>
      </c>
      <c r="W14" s="8">
        <v>45097</v>
      </c>
      <c r="X14" s="4"/>
      <c r="Y14" s="18" t="s">
        <v>2</v>
      </c>
      <c r="Z14" s="4" t="s">
        <v>198</v>
      </c>
      <c r="AA14" s="4"/>
      <c r="AB14" s="7"/>
    </row>
    <row r="15" spans="1:29" ht="94.5" x14ac:dyDescent="0.25">
      <c r="A15" s="6" t="s">
        <v>163</v>
      </c>
      <c r="B15" s="127">
        <v>165000</v>
      </c>
      <c r="C15" s="4" t="s">
        <v>56</v>
      </c>
      <c r="D15" s="4" t="s">
        <v>57</v>
      </c>
      <c r="E15" s="15" t="s">
        <v>58</v>
      </c>
      <c r="F15" s="4">
        <v>1579619</v>
      </c>
      <c r="G15" s="16">
        <v>44645</v>
      </c>
      <c r="H15" s="134" t="s">
        <v>24</v>
      </c>
      <c r="I15" s="9" t="s">
        <v>49</v>
      </c>
      <c r="J15" s="4" t="s">
        <v>82</v>
      </c>
      <c r="K15" s="4" t="s">
        <v>97</v>
      </c>
      <c r="L15" s="4" t="s">
        <v>66</v>
      </c>
      <c r="M15" s="8">
        <v>44719</v>
      </c>
      <c r="N15" s="8">
        <v>44720</v>
      </c>
      <c r="O15" s="4">
        <v>1601691</v>
      </c>
      <c r="P15" s="4" t="s">
        <v>81</v>
      </c>
      <c r="Q15" s="8">
        <v>44761</v>
      </c>
      <c r="R15" s="7">
        <v>19900</v>
      </c>
      <c r="S15" s="7">
        <f>+R15*1.23</f>
        <v>24477</v>
      </c>
      <c r="T15" s="4">
        <v>24</v>
      </c>
      <c r="U15" s="8">
        <v>44789</v>
      </c>
      <c r="V15" s="4">
        <v>9414242</v>
      </c>
      <c r="W15" s="8">
        <v>44790</v>
      </c>
      <c r="X15" s="4"/>
      <c r="Y15" s="18" t="s">
        <v>167</v>
      </c>
      <c r="Z15" s="4">
        <v>483</v>
      </c>
      <c r="AA15" s="4" t="s">
        <v>83</v>
      </c>
      <c r="AB15" s="7">
        <v>22029.3</v>
      </c>
    </row>
    <row r="16" spans="1:29" ht="67.5" x14ac:dyDescent="0.25">
      <c r="A16" s="6" t="s">
        <v>164</v>
      </c>
      <c r="B16" s="127">
        <v>1408000</v>
      </c>
      <c r="C16" s="4" t="s">
        <v>44</v>
      </c>
      <c r="D16" s="4" t="s">
        <v>23</v>
      </c>
      <c r="E16" s="14" t="s">
        <v>118</v>
      </c>
      <c r="F16" s="4">
        <v>1576439</v>
      </c>
      <c r="G16" s="8">
        <v>44635</v>
      </c>
      <c r="H16" s="134" t="s">
        <v>24</v>
      </c>
      <c r="I16" s="9" t="s">
        <v>49</v>
      </c>
      <c r="J16" s="4" t="s">
        <v>46</v>
      </c>
      <c r="K16" s="4" t="s">
        <v>45</v>
      </c>
      <c r="L16" s="4" t="s">
        <v>48</v>
      </c>
      <c r="M16" s="8">
        <v>44662</v>
      </c>
      <c r="N16" s="8">
        <v>44669</v>
      </c>
      <c r="O16" s="19">
        <v>1585752</v>
      </c>
      <c r="P16" s="4" t="s">
        <v>47</v>
      </c>
      <c r="Q16" s="8">
        <v>44687</v>
      </c>
      <c r="R16" s="7">
        <v>9950</v>
      </c>
      <c r="S16" s="7">
        <v>12238.5</v>
      </c>
      <c r="T16" s="4" t="s">
        <v>70</v>
      </c>
      <c r="U16" s="4" t="s">
        <v>70</v>
      </c>
      <c r="V16" s="4">
        <v>9334498</v>
      </c>
      <c r="W16" s="8">
        <v>44746</v>
      </c>
      <c r="X16" s="4" t="s">
        <v>78</v>
      </c>
      <c r="Y16" s="18" t="s">
        <v>168</v>
      </c>
      <c r="Z16" s="4">
        <v>483</v>
      </c>
      <c r="AA16" s="4" t="s">
        <v>93</v>
      </c>
      <c r="AB16" s="7">
        <f>+S16</f>
        <v>12238.5</v>
      </c>
    </row>
    <row r="17" spans="1:28" ht="109.5" x14ac:dyDescent="0.25">
      <c r="A17" s="6" t="s">
        <v>164</v>
      </c>
      <c r="B17" s="127"/>
      <c r="C17" s="4" t="s">
        <v>54</v>
      </c>
      <c r="D17" s="10" t="s">
        <v>23</v>
      </c>
      <c r="E17" s="14" t="s">
        <v>119</v>
      </c>
      <c r="F17" s="4">
        <v>1580640</v>
      </c>
      <c r="G17" s="8">
        <v>44650</v>
      </c>
      <c r="H17" s="4" t="s">
        <v>67</v>
      </c>
      <c r="I17" s="9" t="s">
        <v>68</v>
      </c>
      <c r="J17" s="4" t="s">
        <v>46</v>
      </c>
      <c r="K17" s="4" t="s">
        <v>69</v>
      </c>
      <c r="L17" s="4" t="s">
        <v>55</v>
      </c>
      <c r="M17" s="8">
        <v>44657</v>
      </c>
      <c r="N17" s="8">
        <v>44670</v>
      </c>
      <c r="O17" s="19">
        <v>1589803</v>
      </c>
      <c r="P17" s="4" t="s">
        <v>65</v>
      </c>
      <c r="Q17" s="8">
        <v>44715</v>
      </c>
      <c r="R17" s="7">
        <v>27000</v>
      </c>
      <c r="S17" s="7">
        <v>33210</v>
      </c>
      <c r="T17" s="4">
        <v>11</v>
      </c>
      <c r="U17" s="8">
        <v>44743</v>
      </c>
      <c r="V17" s="4">
        <v>9381671</v>
      </c>
      <c r="W17" s="8">
        <v>44764</v>
      </c>
      <c r="X17" s="4"/>
      <c r="Y17" s="18" t="s">
        <v>167</v>
      </c>
      <c r="Z17" s="4">
        <v>483</v>
      </c>
      <c r="AA17" s="4" t="s">
        <v>93</v>
      </c>
      <c r="AB17" s="7">
        <f>+S17</f>
        <v>33210</v>
      </c>
    </row>
    <row r="18" spans="1:28" x14ac:dyDescent="0.25">
      <c r="R18" s="1"/>
      <c r="S18" s="1"/>
      <c r="AB18" s="1"/>
    </row>
  </sheetData>
  <sheetProtection algorithmName="SHA-512" hashValue="OcrYloejQRJJIHWWLnJwtGVpPqyQfDeNCKpS1Q1FhUetXpS8IlTBipJ4MqCFOCIiRiVFMd5SJEkgY/7x4VFKTA==" saltValue="/8z9HGNo+dGRf7RwQDDq3A==" spinCount="100000" sheet="1" objects="1" scenarios="1" selectLockedCells="1" selectUnlockedCells="1"/>
  <autoFilter ref="A1:AB17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J15"/>
  <sheetViews>
    <sheetView zoomScale="110" zoomScaleNormal="110" workbookViewId="0">
      <selection activeCell="I7" sqref="I7"/>
    </sheetView>
  </sheetViews>
  <sheetFormatPr defaultRowHeight="15" x14ac:dyDescent="0.25"/>
  <cols>
    <col min="1" max="1" width="34.28515625" customWidth="1"/>
    <col min="2" max="2" width="12.85546875" customWidth="1"/>
    <col min="3" max="5" width="21.42578125" customWidth="1"/>
    <col min="6" max="6" width="23.140625" customWidth="1"/>
    <col min="7" max="7" width="24.28515625" customWidth="1"/>
    <col min="8" max="8" width="15.5703125" customWidth="1"/>
    <col min="9" max="9" width="16.85546875" customWidth="1"/>
    <col min="10" max="10" width="15.5703125" customWidth="1"/>
  </cols>
  <sheetData>
    <row r="1" spans="1:10" ht="30.75" thickBot="1" x14ac:dyDescent="0.3">
      <c r="A1" s="116" t="s">
        <v>146</v>
      </c>
      <c r="B1" s="117" t="s">
        <v>147</v>
      </c>
      <c r="C1" s="117" t="s">
        <v>176</v>
      </c>
      <c r="D1" s="140" t="s">
        <v>182</v>
      </c>
      <c r="E1" s="140" t="s">
        <v>183</v>
      </c>
      <c r="F1" s="140" t="s">
        <v>184</v>
      </c>
      <c r="G1" s="141" t="s">
        <v>185</v>
      </c>
      <c r="H1" s="141" t="s">
        <v>186</v>
      </c>
      <c r="I1" s="141" t="s">
        <v>210</v>
      </c>
      <c r="J1" s="141" t="s">
        <v>211</v>
      </c>
    </row>
    <row r="2" spans="1:10" x14ac:dyDescent="0.25">
      <c r="A2" s="113" t="s">
        <v>160</v>
      </c>
      <c r="B2">
        <v>12877</v>
      </c>
      <c r="C2" s="109">
        <v>495000</v>
      </c>
      <c r="D2" s="109">
        <v>31500</v>
      </c>
      <c r="E2" s="109">
        <v>351000</v>
      </c>
      <c r="F2" s="109">
        <v>112500</v>
      </c>
      <c r="G2" s="109">
        <f>+'Castelo Guimaraes_12877'!P2+'Castelo Guimaraes_12877'!P3+'Castelo Guimaraes_12877'!P4</f>
        <v>20910</v>
      </c>
      <c r="H2" s="139">
        <f>+D2-G2</f>
        <v>10590</v>
      </c>
      <c r="I2" s="109">
        <f>+'Castelo Guimaraes_12877'!P5</f>
        <v>297593.23</v>
      </c>
      <c r="J2" s="139">
        <f>+E2-I2</f>
        <v>53406.770000000019</v>
      </c>
    </row>
    <row r="3" spans="1:10" x14ac:dyDescent="0.25">
      <c r="A3" s="113" t="s">
        <v>161</v>
      </c>
      <c r="B3">
        <v>12894</v>
      </c>
      <c r="C3" s="109">
        <v>385000</v>
      </c>
      <c r="D3" s="109">
        <v>24500</v>
      </c>
      <c r="E3" s="109">
        <v>273000</v>
      </c>
      <c r="F3" s="109">
        <v>87500</v>
      </c>
      <c r="G3" s="109">
        <f>+'Concatedral Miranda_12894'!P2+'Concatedral Miranda_12894'!P3+'Concatedral Miranda_12894'!P4</f>
        <v>13230</v>
      </c>
      <c r="H3" s="139">
        <f t="shared" ref="H3:H7" si="0">+D3-G3</f>
        <v>11270</v>
      </c>
      <c r="I3" s="109"/>
      <c r="J3" s="139"/>
    </row>
    <row r="4" spans="1:10" x14ac:dyDescent="0.25">
      <c r="A4" s="113" t="s">
        <v>162</v>
      </c>
      <c r="B4">
        <v>12896</v>
      </c>
      <c r="C4" s="109">
        <v>308000</v>
      </c>
      <c r="D4" s="109">
        <v>134500</v>
      </c>
      <c r="E4" s="109">
        <v>173500</v>
      </c>
      <c r="F4" s="109">
        <v>0</v>
      </c>
      <c r="G4" s="109">
        <f>+'Igreja Sao Miguel_12896'!P2+'Igreja Sao Miguel_12896'!P3+'Igreja Sao Miguel_12896'!P4</f>
        <v>94180.23</v>
      </c>
      <c r="H4" s="139">
        <f t="shared" si="0"/>
        <v>40319.770000000004</v>
      </c>
      <c r="I4" s="109">
        <f>+'Igreja Sao Miguel_12896'!P5+'Igreja Sao Miguel_12896'!P6</f>
        <v>12436.279999999999</v>
      </c>
      <c r="J4" s="139">
        <f>+E4-I4</f>
        <v>161063.72</v>
      </c>
    </row>
    <row r="5" spans="1:10" x14ac:dyDescent="0.25">
      <c r="A5" s="113" t="s">
        <v>163</v>
      </c>
      <c r="B5">
        <v>12897</v>
      </c>
      <c r="C5" s="109">
        <v>165000</v>
      </c>
      <c r="D5" s="109">
        <v>18000</v>
      </c>
      <c r="E5" s="109">
        <v>109500</v>
      </c>
      <c r="F5" s="109">
        <v>37500</v>
      </c>
      <c r="G5" s="109">
        <f>+'Museu Alberto Sampaio_12897'!P2</f>
        <v>19900</v>
      </c>
      <c r="H5" s="139">
        <f t="shared" si="0"/>
        <v>-1900</v>
      </c>
      <c r="I5" s="109"/>
      <c r="J5" s="139"/>
    </row>
    <row r="6" spans="1:10" ht="15.75" thickBot="1" x14ac:dyDescent="0.3">
      <c r="A6" s="113" t="s">
        <v>164</v>
      </c>
      <c r="B6">
        <v>12898</v>
      </c>
      <c r="C6" s="109">
        <v>1408000</v>
      </c>
      <c r="D6" s="109">
        <v>89600</v>
      </c>
      <c r="E6" s="109">
        <v>998400</v>
      </c>
      <c r="F6" s="109">
        <v>320000</v>
      </c>
      <c r="G6" s="109">
        <f>+'Paço Duques_12898'!P2+'Paço Duques_12898'!P3</f>
        <v>36950</v>
      </c>
      <c r="H6" s="139">
        <f t="shared" si="0"/>
        <v>52650</v>
      </c>
      <c r="I6" s="109"/>
      <c r="J6" s="139"/>
    </row>
    <row r="7" spans="1:10" ht="15.75" thickBot="1" x14ac:dyDescent="0.3">
      <c r="A7" s="119" t="s">
        <v>130</v>
      </c>
      <c r="B7" s="119"/>
      <c r="C7" s="120">
        <f>SUM(C2:C6)</f>
        <v>2761000</v>
      </c>
      <c r="D7" s="143">
        <f>SUM(D2:D6)</f>
        <v>298100</v>
      </c>
      <c r="E7" s="143">
        <f>SUM(E2:E6)</f>
        <v>1905400</v>
      </c>
      <c r="F7" s="143">
        <f>SUM(F2:F6)</f>
        <v>557500</v>
      </c>
      <c r="G7" s="142">
        <f>SUM(G2:G6)</f>
        <v>185170.22999999998</v>
      </c>
      <c r="H7" s="142">
        <f t="shared" si="0"/>
        <v>112929.77000000002</v>
      </c>
      <c r="I7" s="142">
        <f>SUM(I2:I6)</f>
        <v>310029.51</v>
      </c>
      <c r="J7" s="142">
        <f t="shared" ref="J7" si="1">+F7-I7</f>
        <v>247470.49</v>
      </c>
    </row>
    <row r="10" spans="1:10" x14ac:dyDescent="0.25">
      <c r="G10" s="139"/>
    </row>
    <row r="11" spans="1:10" x14ac:dyDescent="0.25">
      <c r="G11" s="139"/>
    </row>
    <row r="12" spans="1:10" x14ac:dyDescent="0.25">
      <c r="G12" s="139"/>
    </row>
    <row r="13" spans="1:10" x14ac:dyDescent="0.25">
      <c r="G13" s="139"/>
    </row>
    <row r="14" spans="1:10" x14ac:dyDescent="0.25">
      <c r="G14" s="139"/>
    </row>
    <row r="15" spans="1:10" x14ac:dyDescent="0.25">
      <c r="G15" s="139"/>
    </row>
  </sheetData>
  <sheetProtection algorithmName="SHA-512" hashValue="wJq+6+EERtg+I6xM6avtKJ3ERA2dYEC7YFbcl1KZzRaGrRgEhIfl4V1scYojKZ1yWg5msr6kgkAOc/4TXDQYVQ==" saltValue="ZnLGc09HUd9GOFC4wXKpjA==" spinCount="100000" sheet="1" objects="1" scenarios="1" selectLockedCells="1" selectUnlockedCell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5"/>
  <sheetViews>
    <sheetView tabSelected="1" zoomScale="130" zoomScaleNormal="130" workbookViewId="0">
      <selection activeCell="A27" sqref="A27"/>
    </sheetView>
  </sheetViews>
  <sheetFormatPr defaultRowHeight="15" x14ac:dyDescent="0.25"/>
  <cols>
    <col min="1" max="1" width="35.7109375" customWidth="1"/>
    <col min="2" max="2" width="12.85546875" customWidth="1"/>
    <col min="3" max="3" width="21.42578125" customWidth="1"/>
    <col min="4" max="4" width="22.7109375" bestFit="1" customWidth="1"/>
    <col min="5" max="5" width="22.85546875" bestFit="1" customWidth="1"/>
    <col min="6" max="6" width="22.7109375" customWidth="1"/>
    <col min="7" max="7" width="32.28515625" customWidth="1"/>
    <col min="8" max="8" width="27.85546875" customWidth="1"/>
  </cols>
  <sheetData>
    <row r="1" spans="1:8" ht="45.75" thickBot="1" x14ac:dyDescent="0.3">
      <c r="A1" s="116" t="s">
        <v>146</v>
      </c>
      <c r="B1" s="117" t="s">
        <v>147</v>
      </c>
      <c r="C1" s="117" t="s">
        <v>176</v>
      </c>
      <c r="D1" s="117" t="s">
        <v>148</v>
      </c>
      <c r="E1" s="117" t="s">
        <v>149</v>
      </c>
      <c r="F1" s="117" t="s">
        <v>151</v>
      </c>
      <c r="G1" s="118" t="s">
        <v>177</v>
      </c>
      <c r="H1" s="118" t="s">
        <v>153</v>
      </c>
    </row>
    <row r="2" spans="1:8" x14ac:dyDescent="0.25">
      <c r="A2" s="113" t="s">
        <v>160</v>
      </c>
      <c r="B2">
        <v>12877</v>
      </c>
      <c r="C2" s="109">
        <v>495000</v>
      </c>
      <c r="D2" s="109">
        <f>+'Castelo Guimaraes_12877'!P2+'Castelo Guimaraes_12877'!P3+'Castelo Guimaraes_12877'!P4+'Castelo Guimaraes_12877'!P5</f>
        <v>318503.23</v>
      </c>
      <c r="E2" s="109">
        <f>+'Castelo Guimaraes_12877'!Q2+'Castelo Guimaraes_12877'!Q3+'Castelo Guimaraes_12877'!Q4+'Castelo Guimaraes_12877'!Q5</f>
        <v>340367.41999999993</v>
      </c>
      <c r="F2" s="109">
        <f>+'Castelo Guimaraes_12877'!Z2+'Castelo Guimaraes_12877'!Z3+'Castelo Guimaraes_12877'!Z4</f>
        <v>24918.6</v>
      </c>
      <c r="G2" s="115">
        <f>+D2/C2</f>
        <v>0.64344086868686867</v>
      </c>
      <c r="H2" s="115">
        <f>+F2/E2</f>
        <v>7.3210884872588575E-2</v>
      </c>
    </row>
    <row r="3" spans="1:8" x14ac:dyDescent="0.25">
      <c r="A3" s="113" t="s">
        <v>161</v>
      </c>
      <c r="B3">
        <v>12894</v>
      </c>
      <c r="C3" s="109">
        <v>385000</v>
      </c>
      <c r="D3" s="109">
        <f>+'Concatedral Miranda_12894'!P2+'Concatedral Miranda_12894'!P3+'Concatedral Miranda_12894'!P4</f>
        <v>13230</v>
      </c>
      <c r="E3" s="109">
        <f>+'Concatedral Miranda_12894'!Q2+'Concatedral Miranda_12894'!Q3+'Concatedral Miranda_12894'!Q4</f>
        <v>16272.9</v>
      </c>
      <c r="F3" s="109">
        <f>+'Concatedral Miranda_12894'!Z2+'Concatedral Miranda_12894'!Z3+'Concatedral Miranda_12894'!Z4</f>
        <v>16272.9</v>
      </c>
      <c r="G3" s="115">
        <f t="shared" ref="G3:G7" si="0">+D3/C3</f>
        <v>3.4363636363636367E-2</v>
      </c>
      <c r="H3" s="115">
        <f t="shared" ref="H3:H7" si="1">+F3/E3</f>
        <v>1</v>
      </c>
    </row>
    <row r="4" spans="1:8" x14ac:dyDescent="0.25">
      <c r="A4" s="113" t="s">
        <v>162</v>
      </c>
      <c r="B4">
        <v>12896</v>
      </c>
      <c r="C4" s="109">
        <v>308000</v>
      </c>
      <c r="D4" s="109">
        <f>+'Igreja Sao Miguel_12896'!P2+'Igreja Sao Miguel_12896'!P3+'Igreja Sao Miguel_12896'!P4+'Igreja Sao Miguel_12896'!P5+'Igreja Sao Miguel_12896'!P6</f>
        <v>106616.51</v>
      </c>
      <c r="E4" s="109">
        <f>+'Igreja Sao Miguel_12896'!Q2+'Igreja Sao Miguel_12896'!Q3+'Igreja Sao Miguel_12896'!Q4+'Igreja Sao Miguel_12896'!Q5+'Igreja Sao Miguel_12896'!Q6</f>
        <v>115846.55380000001</v>
      </c>
      <c r="F4" s="109">
        <f>+'Igreja Sao Miguel_12896'!Z2+'Igreja Sao Miguel_12896'!Z3+'Igreja Sao Miguel_12896'!Z4</f>
        <v>89007.01999999999</v>
      </c>
      <c r="G4" s="115">
        <f t="shared" si="0"/>
        <v>0.34615750000000001</v>
      </c>
      <c r="H4" s="115">
        <f t="shared" si="1"/>
        <v>0.76831823718868353</v>
      </c>
    </row>
    <row r="5" spans="1:8" x14ac:dyDescent="0.25">
      <c r="A5" s="113" t="s">
        <v>163</v>
      </c>
      <c r="B5">
        <v>12897</v>
      </c>
      <c r="C5" s="109">
        <v>165000</v>
      </c>
      <c r="D5" s="109">
        <f>+'Museu Alberto Sampaio_12897'!P2</f>
        <v>19900</v>
      </c>
      <c r="E5" s="109">
        <f>+'Museu Alberto Sampaio_12897'!Q2</f>
        <v>24477</v>
      </c>
      <c r="F5" s="109">
        <f>+'Museu Alberto Sampaio_12897'!Z2</f>
        <v>22029.3</v>
      </c>
      <c r="G5" s="115">
        <f t="shared" si="0"/>
        <v>0.12060606060606061</v>
      </c>
      <c r="H5" s="115">
        <f t="shared" si="1"/>
        <v>0.9</v>
      </c>
    </row>
    <row r="6" spans="1:8" ht="15.75" thickBot="1" x14ac:dyDescent="0.3">
      <c r="A6" s="113" t="s">
        <v>164</v>
      </c>
      <c r="B6">
        <v>12898</v>
      </c>
      <c r="C6" s="109">
        <v>1408000</v>
      </c>
      <c r="D6" s="109">
        <f>+'Paço Duques_12898'!P2+'Paço Duques_12898'!P3</f>
        <v>36950</v>
      </c>
      <c r="E6" s="109">
        <f>+'Paço Duques_12898'!Q2+'Paço Duques_12898'!Q3</f>
        <v>45448.5</v>
      </c>
      <c r="F6" s="109">
        <f>+'Paço Duques_12898'!Z2+'Paço Duques_12898'!Z3</f>
        <v>45448.5</v>
      </c>
      <c r="G6" s="115">
        <f t="shared" si="0"/>
        <v>2.6242897727272726E-2</v>
      </c>
      <c r="H6" s="115">
        <f t="shared" si="1"/>
        <v>1</v>
      </c>
    </row>
    <row r="7" spans="1:8" ht="15.75" thickBot="1" x14ac:dyDescent="0.3">
      <c r="A7" s="119" t="s">
        <v>130</v>
      </c>
      <c r="B7" s="119"/>
      <c r="C7" s="120">
        <f>SUM(C2:C6)</f>
        <v>2761000</v>
      </c>
      <c r="D7" s="120">
        <f>SUM(D2:D6)</f>
        <v>495199.74</v>
      </c>
      <c r="E7" s="120">
        <f>SUM(E2:E6)</f>
        <v>542412.37379999994</v>
      </c>
      <c r="F7" s="120">
        <f>SUM(F2:F6)</f>
        <v>197676.31999999998</v>
      </c>
      <c r="G7" s="121">
        <f t="shared" si="0"/>
        <v>0.1793552118797537</v>
      </c>
      <c r="H7" s="121">
        <f t="shared" si="1"/>
        <v>0.36443917865503533</v>
      </c>
    </row>
    <row r="10" spans="1:8" x14ac:dyDescent="0.25">
      <c r="D10" s="139"/>
    </row>
    <row r="11" spans="1:8" x14ac:dyDescent="0.25">
      <c r="D11" s="139"/>
    </row>
    <row r="12" spans="1:8" x14ac:dyDescent="0.25">
      <c r="D12" s="139"/>
    </row>
    <row r="13" spans="1:8" x14ac:dyDescent="0.25">
      <c r="D13" s="139"/>
    </row>
    <row r="14" spans="1:8" x14ac:dyDescent="0.25">
      <c r="D14" s="139"/>
    </row>
    <row r="15" spans="1:8" x14ac:dyDescent="0.25">
      <c r="D15" s="139"/>
    </row>
  </sheetData>
  <sheetProtection algorithmName="SHA-512" hashValue="5zikI39i+Fkqlzmc2+3hpafVD8Bo//Xgi+QwSaQn0jMPk/2M6C34wIzzlTsPARHdxQZ3AKtrKDYi8KI2HEYI1Q==" saltValue="jwdv56UePEg7YHm7lQ6j6w==" spinCount="100000"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="90" zoomScaleNormal="90" zoomScaleSheetLayoutView="100" workbookViewId="0">
      <pane xSplit="3" ySplit="3" topLeftCell="D4" activePane="bottomRight" state="frozen"/>
      <selection activeCell="M6" sqref="M6"/>
      <selection pane="topRight" activeCell="M6" sqref="M6"/>
      <selection pane="bottomLeft" activeCell="M6" sqref="M6"/>
      <selection pane="bottomRight" activeCell="M6" sqref="M6"/>
    </sheetView>
  </sheetViews>
  <sheetFormatPr defaultRowHeight="15" x14ac:dyDescent="0.25"/>
  <cols>
    <col min="2" max="2" width="31.28515625" customWidth="1"/>
    <col min="3" max="3" width="51.28515625" customWidth="1"/>
    <col min="4" max="4" width="9.140625" customWidth="1"/>
    <col min="5" max="5" width="18.28515625" customWidth="1"/>
    <col min="6" max="6" width="22" customWidth="1"/>
    <col min="7" max="9" width="19.42578125" customWidth="1"/>
    <col min="10" max="11" width="18.28515625" customWidth="1"/>
    <col min="12" max="12" width="19.140625" customWidth="1"/>
    <col min="13" max="13" width="20.28515625" style="20" customWidth="1"/>
    <col min="14" max="14" width="11.42578125" bestFit="1" customWidth="1"/>
  </cols>
  <sheetData>
    <row r="1" spans="1:14" ht="39.75" customHeight="1" x14ac:dyDescent="0.25">
      <c r="A1" s="157" t="s">
        <v>120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</row>
    <row r="2" spans="1:14" ht="46.5" customHeight="1" x14ac:dyDescent="0.25">
      <c r="A2" s="159" t="s">
        <v>121</v>
      </c>
      <c r="B2" s="161" t="s">
        <v>122</v>
      </c>
      <c r="C2" s="163" t="s">
        <v>123</v>
      </c>
      <c r="D2" s="163" t="s">
        <v>4</v>
      </c>
      <c r="E2" s="163" t="s">
        <v>3</v>
      </c>
      <c r="F2" s="21" t="s">
        <v>124</v>
      </c>
      <c r="G2" s="165">
        <v>2022</v>
      </c>
      <c r="H2" s="166"/>
      <c r="I2" s="167"/>
      <c r="J2" s="165">
        <v>2023</v>
      </c>
      <c r="K2" s="167"/>
      <c r="L2" s="22">
        <v>2024</v>
      </c>
    </row>
    <row r="3" spans="1:14" s="28" customFormat="1" ht="27.6" customHeight="1" thickBot="1" x14ac:dyDescent="0.3">
      <c r="A3" s="160"/>
      <c r="B3" s="162"/>
      <c r="C3" s="164"/>
      <c r="D3" s="164"/>
      <c r="E3" s="164"/>
      <c r="F3" s="23">
        <f>+F4+F9+F13+F17+F21</f>
        <v>2760910</v>
      </c>
      <c r="G3" s="24" t="s">
        <v>125</v>
      </c>
      <c r="H3" s="24" t="s">
        <v>126</v>
      </c>
      <c r="I3" s="25" t="s">
        <v>127</v>
      </c>
      <c r="J3" s="25" t="s">
        <v>128</v>
      </c>
      <c r="K3" s="25" t="s">
        <v>127</v>
      </c>
      <c r="L3" s="26" t="s">
        <v>127</v>
      </c>
      <c r="M3" s="27"/>
    </row>
    <row r="4" spans="1:14" ht="23.1" customHeight="1" x14ac:dyDescent="0.25">
      <c r="A4" s="151">
        <v>12877</v>
      </c>
      <c r="B4" s="29" t="s">
        <v>129</v>
      </c>
      <c r="C4" s="30" t="s">
        <v>130</v>
      </c>
      <c r="D4" s="30"/>
      <c r="E4" s="30"/>
      <c r="F4" s="31">
        <f>SUM(F5:F8)</f>
        <v>495000</v>
      </c>
      <c r="G4" s="32">
        <f>SUM(G5:G8)</f>
        <v>16200</v>
      </c>
      <c r="H4" s="32">
        <f t="shared" ref="H4:I4" si="0">SUM(H5:H8)</f>
        <v>0</v>
      </c>
      <c r="I4" s="32">
        <f t="shared" si="0"/>
        <v>4710</v>
      </c>
      <c r="J4" s="32">
        <f t="shared" ref="J4" si="1">SUM(J5:J8)</f>
        <v>10590</v>
      </c>
      <c r="K4" s="32">
        <f t="shared" ref="K4" si="2">SUM(K5:K8)</f>
        <v>351000</v>
      </c>
      <c r="L4" s="32">
        <f t="shared" ref="L4" si="3">SUM(L5:L8)</f>
        <v>112500</v>
      </c>
      <c r="M4" s="34"/>
    </row>
    <row r="5" spans="1:14" ht="23.1" customHeight="1" x14ac:dyDescent="0.25">
      <c r="A5" s="152"/>
      <c r="B5" s="35" t="s">
        <v>129</v>
      </c>
      <c r="C5" s="36" t="s">
        <v>131</v>
      </c>
      <c r="D5" s="36">
        <v>483</v>
      </c>
      <c r="E5" s="37" t="s">
        <v>0</v>
      </c>
      <c r="F5" s="38">
        <f>+G5</f>
        <v>7500</v>
      </c>
      <c r="G5" s="39">
        <f>+'Castelo Guimaraes_12877'!P4</f>
        <v>7500</v>
      </c>
      <c r="H5" s="39">
        <v>0</v>
      </c>
      <c r="I5" s="40"/>
      <c r="J5" s="40"/>
      <c r="K5" s="41"/>
      <c r="L5" s="42"/>
      <c r="M5" s="34"/>
      <c r="N5" s="1"/>
    </row>
    <row r="6" spans="1:14" ht="23.1" customHeight="1" x14ac:dyDescent="0.25">
      <c r="A6" s="152"/>
      <c r="B6" s="43" t="s">
        <v>129</v>
      </c>
      <c r="C6" s="44" t="s">
        <v>132</v>
      </c>
      <c r="D6" s="36">
        <v>483</v>
      </c>
      <c r="E6" s="37" t="s">
        <v>0</v>
      </c>
      <c r="F6" s="38">
        <f>+G6</f>
        <v>8700</v>
      </c>
      <c r="G6" s="45">
        <f>+'Castelo Guimaraes_12877'!P2</f>
        <v>8700</v>
      </c>
      <c r="H6" s="45">
        <v>0</v>
      </c>
      <c r="I6" s="46"/>
      <c r="J6" s="40"/>
      <c r="K6" s="41"/>
      <c r="L6" s="42"/>
      <c r="M6" s="34"/>
    </row>
    <row r="7" spans="1:14" ht="23.1" customHeight="1" x14ac:dyDescent="0.25">
      <c r="A7" s="152"/>
      <c r="B7" s="43" t="s">
        <v>129</v>
      </c>
      <c r="C7" s="44" t="s">
        <v>133</v>
      </c>
      <c r="D7" s="36">
        <v>483</v>
      </c>
      <c r="E7" s="47" t="s">
        <v>1</v>
      </c>
      <c r="F7" s="48">
        <v>10590</v>
      </c>
      <c r="G7" s="45">
        <v>0</v>
      </c>
      <c r="H7" s="45"/>
      <c r="I7" s="45"/>
      <c r="J7" s="39">
        <v>10590</v>
      </c>
      <c r="K7" s="49"/>
      <c r="L7" s="50"/>
      <c r="M7" s="34"/>
    </row>
    <row r="8" spans="1:14" ht="23.1" customHeight="1" thickBot="1" x14ac:dyDescent="0.3">
      <c r="A8" s="153"/>
      <c r="B8" s="51" t="s">
        <v>129</v>
      </c>
      <c r="C8" s="52" t="s">
        <v>134</v>
      </c>
      <c r="D8" s="36">
        <v>483</v>
      </c>
      <c r="E8" s="47" t="s">
        <v>2</v>
      </c>
      <c r="F8" s="48">
        <f>(K8+L8+I8)</f>
        <v>468210</v>
      </c>
      <c r="G8" s="45"/>
      <c r="H8" s="45"/>
      <c r="I8" s="45">
        <f>+'Castelo Guimaraes_12877'!P3</f>
        <v>4710</v>
      </c>
      <c r="K8" s="53">
        <v>351000</v>
      </c>
      <c r="L8" s="54">
        <f>112500</f>
        <v>112500</v>
      </c>
      <c r="M8" s="34"/>
    </row>
    <row r="9" spans="1:14" ht="23.1" customHeight="1" x14ac:dyDescent="0.25">
      <c r="A9" s="151">
        <v>12894</v>
      </c>
      <c r="B9" s="29" t="s">
        <v>135</v>
      </c>
      <c r="C9" s="30" t="s">
        <v>130</v>
      </c>
      <c r="D9" s="30"/>
      <c r="E9" s="30"/>
      <c r="F9" s="31">
        <f>SUM(F10:F12)</f>
        <v>385000</v>
      </c>
      <c r="G9" s="32">
        <f>SUM(G10:G12)</f>
        <v>4730</v>
      </c>
      <c r="H9" s="32">
        <f t="shared" ref="H9:L9" si="4">SUM(H10:H12)</f>
        <v>8500</v>
      </c>
      <c r="I9" s="32">
        <f t="shared" si="4"/>
        <v>0</v>
      </c>
      <c r="J9" s="32">
        <f t="shared" si="4"/>
        <v>11270</v>
      </c>
      <c r="K9" s="32">
        <f t="shared" si="4"/>
        <v>273000</v>
      </c>
      <c r="L9" s="32">
        <f t="shared" si="4"/>
        <v>87500</v>
      </c>
      <c r="M9" s="34"/>
    </row>
    <row r="10" spans="1:14" ht="23.1" customHeight="1" x14ac:dyDescent="0.25">
      <c r="A10" s="152"/>
      <c r="B10" s="35" t="s">
        <v>135</v>
      </c>
      <c r="C10" s="36" t="s">
        <v>136</v>
      </c>
      <c r="D10" s="36">
        <v>483</v>
      </c>
      <c r="E10" s="47" t="s">
        <v>1</v>
      </c>
      <c r="F10" s="38">
        <f>+H10+J10</f>
        <v>19770</v>
      </c>
      <c r="G10" s="39">
        <v>0</v>
      </c>
      <c r="H10" s="39">
        <f>+'Concatedral Miranda_12894'!P2+'Concatedral Miranda_12894'!P4</f>
        <v>8500</v>
      </c>
      <c r="I10" s="40"/>
      <c r="J10" s="40">
        <f>3800+7470</f>
        <v>11270</v>
      </c>
      <c r="K10" s="41"/>
      <c r="L10" s="42"/>
      <c r="M10" s="34"/>
    </row>
    <row r="11" spans="1:14" ht="23.1" customHeight="1" x14ac:dyDescent="0.25">
      <c r="A11" s="152"/>
      <c r="B11" s="43" t="s">
        <v>135</v>
      </c>
      <c r="C11" s="44" t="s">
        <v>132</v>
      </c>
      <c r="D11" s="55">
        <v>483</v>
      </c>
      <c r="E11" s="47" t="s">
        <v>0</v>
      </c>
      <c r="F11" s="38">
        <f>+G11</f>
        <v>4730</v>
      </c>
      <c r="G11" s="45">
        <f>+'Concatedral Miranda_12894'!P3</f>
        <v>4730</v>
      </c>
      <c r="H11" s="45">
        <v>0</v>
      </c>
      <c r="I11" s="45"/>
      <c r="J11" s="39"/>
      <c r="K11" s="49"/>
      <c r="L11" s="50"/>
      <c r="M11" s="34"/>
    </row>
    <row r="12" spans="1:14" ht="23.1" customHeight="1" thickBot="1" x14ac:dyDescent="0.3">
      <c r="A12" s="153"/>
      <c r="B12" s="43" t="s">
        <v>135</v>
      </c>
      <c r="C12" s="52" t="s">
        <v>134</v>
      </c>
      <c r="D12" s="56">
        <v>483</v>
      </c>
      <c r="E12" s="57" t="s">
        <v>2</v>
      </c>
      <c r="F12" s="58">
        <f>(K12+L12)</f>
        <v>360500</v>
      </c>
      <c r="G12" s="59"/>
      <c r="H12" s="59"/>
      <c r="I12" s="59"/>
      <c r="K12" s="59">
        <f>273000</f>
        <v>273000</v>
      </c>
      <c r="L12" s="60">
        <f>87500</f>
        <v>87500</v>
      </c>
      <c r="M12" s="34"/>
    </row>
    <row r="13" spans="1:14" ht="23.1" customHeight="1" x14ac:dyDescent="0.25">
      <c r="A13" s="151">
        <v>12896</v>
      </c>
      <c r="B13" s="61" t="s">
        <v>137</v>
      </c>
      <c r="C13" s="62" t="s">
        <v>130</v>
      </c>
      <c r="D13" s="63"/>
      <c r="E13" s="62"/>
      <c r="F13" s="64">
        <f>SUM(F14:F16)</f>
        <v>308000</v>
      </c>
      <c r="G13" s="65">
        <f>SUM(G14:G16)</f>
        <v>4740</v>
      </c>
      <c r="H13" s="65">
        <f>SUM(H14:H16)</f>
        <v>11925</v>
      </c>
      <c r="I13" s="65">
        <f>SUM(I14:I16)</f>
        <v>77515.23</v>
      </c>
      <c r="J13" s="65">
        <f t="shared" ref="J13" si="5">SUM(J14:J16)</f>
        <v>75</v>
      </c>
      <c r="K13" s="65">
        <f>SUM(K14:K16)</f>
        <v>143744.77000000002</v>
      </c>
      <c r="L13" s="66">
        <f>SUM(L14:L16)</f>
        <v>70000</v>
      </c>
      <c r="M13" s="34"/>
    </row>
    <row r="14" spans="1:14" ht="23.1" customHeight="1" x14ac:dyDescent="0.25">
      <c r="A14" s="152"/>
      <c r="B14" s="35" t="s">
        <v>137</v>
      </c>
      <c r="C14" s="36" t="s">
        <v>138</v>
      </c>
      <c r="D14" s="67">
        <v>483</v>
      </c>
      <c r="E14" s="68" t="s">
        <v>1</v>
      </c>
      <c r="F14" s="69">
        <f>+H14+J14</f>
        <v>12000</v>
      </c>
      <c r="G14" s="70"/>
      <c r="H14" s="71">
        <f>+'Igreja Sao Miguel_12896'!P3</f>
        <v>11925</v>
      </c>
      <c r="I14" s="71"/>
      <c r="J14" s="71">
        <v>75</v>
      </c>
      <c r="K14" s="72"/>
      <c r="L14" s="73"/>
      <c r="M14" s="34"/>
    </row>
    <row r="15" spans="1:14" ht="23.1" customHeight="1" x14ac:dyDescent="0.25">
      <c r="A15" s="152"/>
      <c r="B15" s="35" t="s">
        <v>137</v>
      </c>
      <c r="C15" s="36" t="s">
        <v>132</v>
      </c>
      <c r="D15" s="67">
        <v>483</v>
      </c>
      <c r="E15" s="68" t="s">
        <v>0</v>
      </c>
      <c r="F15" s="69">
        <f>+G15</f>
        <v>4740</v>
      </c>
      <c r="G15" s="71">
        <f>+'Igreja Sao Miguel_12896'!P2</f>
        <v>4740</v>
      </c>
      <c r="H15" s="71"/>
      <c r="I15" s="71"/>
      <c r="J15" s="71"/>
      <c r="K15" s="71"/>
      <c r="L15" s="73"/>
      <c r="M15" s="34"/>
    </row>
    <row r="16" spans="1:14" ht="23.1" customHeight="1" thickBot="1" x14ac:dyDescent="0.3">
      <c r="A16" s="153"/>
      <c r="B16" s="74" t="s">
        <v>137</v>
      </c>
      <c r="C16" s="75" t="s">
        <v>134</v>
      </c>
      <c r="D16" s="76">
        <v>483</v>
      </c>
      <c r="E16" s="77" t="s">
        <v>2</v>
      </c>
      <c r="F16" s="78">
        <f>+I16+K16+L16</f>
        <v>291260</v>
      </c>
      <c r="G16" s="79"/>
      <c r="I16" s="80">
        <f>+'Igreja Sao Miguel_12896'!P4</f>
        <v>77515.23</v>
      </c>
      <c r="K16" s="80">
        <f>218400-74655.23</f>
        <v>143744.77000000002</v>
      </c>
      <c r="L16" s="81">
        <v>70000</v>
      </c>
      <c r="M16" s="34"/>
    </row>
    <row r="17" spans="1:14" ht="23.1" customHeight="1" x14ac:dyDescent="0.25">
      <c r="A17" s="151">
        <v>12897</v>
      </c>
      <c r="B17" s="29" t="s">
        <v>139</v>
      </c>
      <c r="C17" s="30" t="s">
        <v>140</v>
      </c>
      <c r="D17" s="82"/>
      <c r="E17" s="30"/>
      <c r="F17" s="31">
        <f>SUM(F18:F20)</f>
        <v>164910</v>
      </c>
      <c r="G17" s="32">
        <f>SUM(G18:G20)</f>
        <v>19900</v>
      </c>
      <c r="H17" s="32">
        <f>SUM(H18:H20)</f>
        <v>0</v>
      </c>
      <c r="I17" s="32"/>
      <c r="J17" s="32">
        <f>SUM(J18:J20)</f>
        <v>10</v>
      </c>
      <c r="K17" s="32">
        <f>SUM(K18:K20)</f>
        <v>107500</v>
      </c>
      <c r="L17" s="33">
        <f>SUM(L18:L20)</f>
        <v>37500</v>
      </c>
      <c r="M17" s="34"/>
      <c r="N17" s="1"/>
    </row>
    <row r="18" spans="1:14" s="93" customFormat="1" ht="23.1" customHeight="1" x14ac:dyDescent="0.25">
      <c r="A18" s="152"/>
      <c r="B18" s="83" t="s">
        <v>139</v>
      </c>
      <c r="C18" s="84" t="s">
        <v>141</v>
      </c>
      <c r="D18" s="67">
        <v>483</v>
      </c>
      <c r="E18" s="47" t="s">
        <v>0</v>
      </c>
      <c r="F18" s="85">
        <f>SUM(G18:L18)</f>
        <v>19910</v>
      </c>
      <c r="G18" s="86">
        <f>+'Museu Alberto Sampaio_12897'!P2</f>
        <v>19900</v>
      </c>
      <c r="H18" s="87"/>
      <c r="I18" s="88"/>
      <c r="J18" s="89">
        <v>10</v>
      </c>
      <c r="K18" s="90"/>
      <c r="L18" s="91"/>
      <c r="M18" s="34"/>
      <c r="N18" s="92"/>
    </row>
    <row r="19" spans="1:14" s="93" customFormat="1" ht="23.1" customHeight="1" x14ac:dyDescent="0.25">
      <c r="A19" s="152"/>
      <c r="B19" s="83" t="s">
        <v>139</v>
      </c>
      <c r="C19" s="67" t="s">
        <v>142</v>
      </c>
      <c r="D19" s="67">
        <v>483</v>
      </c>
      <c r="E19" s="68" t="s">
        <v>1</v>
      </c>
      <c r="F19" s="69">
        <f>SUM(G19:L19)</f>
        <v>0</v>
      </c>
      <c r="G19" s="71"/>
      <c r="H19" s="71"/>
      <c r="I19" s="94"/>
      <c r="J19" s="95"/>
      <c r="K19" s="96"/>
      <c r="L19" s="73"/>
      <c r="M19" s="34"/>
      <c r="N19" s="92"/>
    </row>
    <row r="20" spans="1:14" s="93" customFormat="1" ht="23.1" customHeight="1" thickBot="1" x14ac:dyDescent="0.3">
      <c r="A20" s="153"/>
      <c r="B20" s="74" t="s">
        <v>139</v>
      </c>
      <c r="C20" s="97" t="s">
        <v>134</v>
      </c>
      <c r="D20" s="76">
        <v>483</v>
      </c>
      <c r="E20" s="77" t="s">
        <v>2</v>
      </c>
      <c r="F20" s="98">
        <f>(K20+L20)</f>
        <v>145000</v>
      </c>
      <c r="G20" s="99"/>
      <c r="H20" s="99"/>
      <c r="I20" s="79"/>
      <c r="J20" s="100"/>
      <c r="K20" s="80">
        <v>107500</v>
      </c>
      <c r="L20" s="81">
        <f>37500</f>
        <v>37500</v>
      </c>
      <c r="M20" s="34"/>
      <c r="N20" s="92"/>
    </row>
    <row r="21" spans="1:14" s="28" customFormat="1" ht="23.1" customHeight="1" x14ac:dyDescent="0.25">
      <c r="A21" s="154">
        <v>12898</v>
      </c>
      <c r="B21" s="29" t="s">
        <v>143</v>
      </c>
      <c r="C21" s="30" t="s">
        <v>130</v>
      </c>
      <c r="D21" s="82"/>
      <c r="E21" s="30"/>
      <c r="F21" s="31">
        <f>SUM(F22:F24)</f>
        <v>1408000</v>
      </c>
      <c r="G21" s="32">
        <f>SUM(G22:G24)</f>
        <v>27000</v>
      </c>
      <c r="H21" s="32">
        <f t="shared" ref="H21:L21" si="6">SUM(H22:H24)</f>
        <v>9950</v>
      </c>
      <c r="I21" s="32">
        <f t="shared" si="6"/>
        <v>0</v>
      </c>
      <c r="J21" s="32">
        <f t="shared" si="6"/>
        <v>52650</v>
      </c>
      <c r="K21" s="32">
        <f t="shared" si="6"/>
        <v>998400</v>
      </c>
      <c r="L21" s="32">
        <f t="shared" si="6"/>
        <v>320000</v>
      </c>
      <c r="M21" s="34"/>
      <c r="N21" s="101"/>
    </row>
    <row r="22" spans="1:14" s="28" customFormat="1" ht="23.1" customHeight="1" x14ac:dyDescent="0.25">
      <c r="A22" s="155"/>
      <c r="B22" s="35" t="s">
        <v>143</v>
      </c>
      <c r="C22" s="67" t="s">
        <v>132</v>
      </c>
      <c r="D22" s="84">
        <v>483</v>
      </c>
      <c r="E22" s="47" t="s">
        <v>0</v>
      </c>
      <c r="F22" s="38">
        <f>+G22</f>
        <v>27000</v>
      </c>
      <c r="G22" s="39">
        <f>+'Paço Duques_12898'!P3</f>
        <v>27000</v>
      </c>
      <c r="H22" s="39">
        <v>0</v>
      </c>
      <c r="I22" s="40"/>
      <c r="J22" s="40"/>
      <c r="K22" s="41"/>
      <c r="L22" s="42"/>
      <c r="M22" s="34"/>
    </row>
    <row r="23" spans="1:14" s="28" customFormat="1" ht="23.1" customHeight="1" x14ac:dyDescent="0.25">
      <c r="A23" s="155"/>
      <c r="B23" s="43" t="s">
        <v>143</v>
      </c>
      <c r="C23" s="67" t="s">
        <v>144</v>
      </c>
      <c r="D23" s="36">
        <v>483</v>
      </c>
      <c r="E23" s="68" t="s">
        <v>1</v>
      </c>
      <c r="F23" s="38">
        <f>+J23+H23</f>
        <v>62600</v>
      </c>
      <c r="G23" s="39">
        <v>0</v>
      </c>
      <c r="H23" s="39">
        <f>+'Paço Duques_12898'!P2</f>
        <v>9950</v>
      </c>
      <c r="I23" s="40"/>
      <c r="J23" s="40">
        <v>52650</v>
      </c>
      <c r="K23" s="41"/>
      <c r="L23" s="42"/>
      <c r="M23" s="34"/>
    </row>
    <row r="24" spans="1:14" s="28" customFormat="1" ht="23.1" customHeight="1" thickBot="1" x14ac:dyDescent="0.3">
      <c r="A24" s="156"/>
      <c r="B24" s="74" t="s">
        <v>143</v>
      </c>
      <c r="C24" s="75" t="s">
        <v>134</v>
      </c>
      <c r="D24" s="76">
        <v>483</v>
      </c>
      <c r="E24" s="77" t="s">
        <v>145</v>
      </c>
      <c r="F24" s="102">
        <f>(K24+L24)</f>
        <v>1318400</v>
      </c>
      <c r="G24" s="103"/>
      <c r="H24" s="103"/>
      <c r="I24" s="103"/>
      <c r="J24" s="104"/>
      <c r="K24" s="103">
        <f>998400</f>
        <v>998400</v>
      </c>
      <c r="L24" s="105">
        <f>320000</f>
        <v>320000</v>
      </c>
      <c r="M24" s="34"/>
      <c r="N24" s="101"/>
    </row>
    <row r="25" spans="1:14" s="28" customFormat="1" ht="21" customHeight="1" x14ac:dyDescent="0.25">
      <c r="B25" s="106"/>
      <c r="C25" s="106"/>
      <c r="D25" s="106"/>
      <c r="E25" s="106"/>
      <c r="F25" s="111"/>
      <c r="G25" s="107"/>
      <c r="H25" s="107"/>
      <c r="I25" s="107"/>
      <c r="M25" s="27"/>
    </row>
    <row r="26" spans="1:14" ht="21" customHeight="1" x14ac:dyDescent="0.25">
      <c r="B26" s="106"/>
      <c r="C26" s="106"/>
      <c r="D26" s="106"/>
      <c r="F26" s="108"/>
      <c r="G26" s="108"/>
      <c r="H26" s="108"/>
      <c r="I26" s="1"/>
    </row>
    <row r="27" spans="1:14" ht="19.5" customHeight="1" x14ac:dyDescent="0.25">
      <c r="F27" s="1"/>
      <c r="G27" s="1"/>
      <c r="H27" s="1"/>
      <c r="I27" s="1"/>
    </row>
    <row r="28" spans="1:14" x14ac:dyDescent="0.25">
      <c r="F28" s="1"/>
      <c r="G28" s="1"/>
      <c r="H28" s="1"/>
      <c r="I28" s="1"/>
    </row>
    <row r="29" spans="1:14" x14ac:dyDescent="0.25">
      <c r="F29" s="1"/>
      <c r="G29" s="1"/>
      <c r="H29" s="1"/>
      <c r="I29" s="1"/>
    </row>
    <row r="30" spans="1:14" x14ac:dyDescent="0.25">
      <c r="F30" s="1"/>
      <c r="G30" s="1"/>
      <c r="H30" s="1"/>
      <c r="I30" s="1"/>
    </row>
    <row r="31" spans="1:14" x14ac:dyDescent="0.25">
      <c r="F31" s="1"/>
      <c r="G31" s="1"/>
      <c r="H31" s="1"/>
      <c r="I31" s="1"/>
    </row>
    <row r="32" spans="1:14" x14ac:dyDescent="0.25">
      <c r="F32" s="1"/>
      <c r="G32" s="1"/>
      <c r="H32" s="1"/>
      <c r="I32" s="1"/>
    </row>
  </sheetData>
  <mergeCells count="13">
    <mergeCell ref="A1:L1"/>
    <mergeCell ref="A2:A3"/>
    <mergeCell ref="B2:B3"/>
    <mergeCell ref="C2:C3"/>
    <mergeCell ref="D2:D3"/>
    <mergeCell ref="E2:E3"/>
    <mergeCell ref="G2:I2"/>
    <mergeCell ref="J2:K2"/>
    <mergeCell ref="A4:A8"/>
    <mergeCell ref="A9:A12"/>
    <mergeCell ref="A13:A16"/>
    <mergeCell ref="A17:A20"/>
    <mergeCell ref="A21:A24"/>
  </mergeCells>
  <pageMargins left="0.7" right="0.7" top="0.75" bottom="0.75" header="0.3" footer="0.3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1</vt:i4>
      </vt:variant>
    </vt:vector>
  </HeadingPairs>
  <TitlesOfParts>
    <vt:vector size="15" baseType="lpstr">
      <vt:lpstr>Dashboard</vt:lpstr>
      <vt:lpstr>Pagamentos por Projeto</vt:lpstr>
      <vt:lpstr>Contratação por Projeto</vt:lpstr>
      <vt:lpstr>Contagem</vt:lpstr>
      <vt:lpstr>Contrato FSG</vt:lpstr>
      <vt:lpstr>Listagem</vt:lpstr>
      <vt:lpstr>Controlo Plurianual</vt:lpstr>
      <vt:lpstr>Controlo</vt:lpstr>
      <vt:lpstr>PRR Direto da DRCN(sIVA)</vt:lpstr>
      <vt:lpstr>Castelo Guimaraes_12877</vt:lpstr>
      <vt:lpstr>Concatedral Miranda_12894</vt:lpstr>
      <vt:lpstr>Igreja Sao Miguel_12896</vt:lpstr>
      <vt:lpstr>Museu Alberto Sampaio_12897</vt:lpstr>
      <vt:lpstr>Paço Duques_12898</vt:lpstr>
      <vt:lpstr>'PRR Direto da DRCN(sIVA)'!Área_de_Impressão</vt:lpstr>
    </vt:vector>
  </TitlesOfParts>
  <Company>CEGER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Santos</dc:creator>
  <cp:lastModifiedBy>Felicidade Ramos</cp:lastModifiedBy>
  <cp:lastPrinted>2022-03-22T09:36:00Z</cp:lastPrinted>
  <dcterms:created xsi:type="dcterms:W3CDTF">2021-03-18T16:47:59Z</dcterms:created>
  <dcterms:modified xsi:type="dcterms:W3CDTF">2023-06-30T11:06:40Z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PRR Orçamento geral DRCNorte_v09122022.xlsx</vt:lpwstr>
  </property>
</Properties>
</file>